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605" tabRatio="633" firstSheet="3" activeTab="8"/>
  </bookViews>
  <sheets>
    <sheet name="Kokkuvõte" sheetId="1" state="hidden" r:id="rId1"/>
    <sheet name="Veehind abonenttasuga" sheetId="2" r:id="rId2"/>
    <sheet name="Veeteenused elanikkonnale" sheetId="3" r:id="rId3"/>
    <sheet name="Veeteenused ettevõtetele" sheetId="4" r:id="rId4"/>
    <sheet name="Elanikkonnale" sheetId="5" r:id="rId5"/>
    <sheet name="Ettevõtetele" sheetId="6" r:id="rId6"/>
    <sheet name="Müügitulu" sheetId="7" r:id="rId7"/>
    <sheet name="1m3 tulu" sheetId="8" r:id="rId8"/>
    <sheet name="Graafik" sheetId="9" r:id="rId9"/>
  </sheets>
  <definedNames>
    <definedName name="Prindiala" localSheetId="7">'1m3 tulu'!$A$1:$E$43</definedName>
    <definedName name="Prindiala" localSheetId="4">'Elanikkonnale'!$A$1:$E$51</definedName>
    <definedName name="Prindiala" localSheetId="5">'Ettevõtetele'!$A$1:$E$47</definedName>
    <definedName name="Prindiala" localSheetId="6">'Müügitulu'!$A$1:$O$53</definedName>
    <definedName name="Prindiala" localSheetId="1">'Veehind abonenttasuga'!$A$1:$N$46</definedName>
    <definedName name="Prindiala" localSheetId="2">'Veeteenused elanikkonnale'!$A$1:$I$47</definedName>
    <definedName name="Prindiala" localSheetId="3">'Veeteenused ettevõtetele'!$A$1:$K$46</definedName>
    <definedName name="Prindiala_2">'Veeteenused ettevõtetele'!$A$1:$H$46</definedName>
    <definedName name="Prindiala_4">#REF!</definedName>
    <definedName name="Prindiala_5">#REF!</definedName>
    <definedName name="Prindiala_8">#REF!</definedName>
  </definedNames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D15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0,097 m3</t>
        </r>
      </text>
    </comment>
    <comment ref="F15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0,048 m3</t>
        </r>
      </text>
    </comment>
    <comment ref="D19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0,178 m3</t>
        </r>
      </text>
    </comment>
    <comment ref="D2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1,993 m3 ja lekked 17,172 m3</t>
        </r>
      </text>
    </comment>
    <comment ref="D2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0,879 m3</t>
        </r>
      </text>
    </comment>
    <comment ref="F2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0,051 m3</t>
        </r>
      </text>
    </comment>
    <comment ref="H27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0,377 €</t>
        </r>
      </text>
    </comment>
    <comment ref="D31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1,187 m3</t>
        </r>
      </text>
    </comment>
    <comment ref="F31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0,085m3</t>
        </r>
      </text>
    </comment>
    <comment ref="D44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0,058 m3</t>
        </r>
      </text>
    </comment>
    <comment ref="D4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0,215 m3</t>
        </r>
      </text>
    </comment>
    <comment ref="F46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põllumajandusettevõtted 0,199 m3</t>
        </r>
      </text>
    </comment>
  </commentList>
</comments>
</file>

<file path=xl/comments7.xml><?xml version="1.0" encoding="utf-8"?>
<comments xmlns="http://schemas.openxmlformats.org/spreadsheetml/2006/main">
  <authors>
    <author>dell</author>
  </authors>
  <commentList>
    <comment ref="E10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sademe- ja klaasimasinate jahutusvesi 9,141€</t>
        </r>
      </text>
    </comment>
    <comment ref="C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o,o62€</t>
        </r>
      </text>
    </comment>
    <comment ref="E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0,061€</t>
        </r>
      </text>
    </comment>
    <comment ref="G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0,097€</t>
        </r>
      </text>
    </comment>
    <comment ref="I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sh põllumaj.ettevõtted 0,048€</t>
        </r>
      </text>
    </comment>
    <comment ref="C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0,299€</t>
        </r>
      </text>
    </comment>
    <comment ref="G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0,178€</t>
        </r>
      </text>
    </comment>
    <comment ref="C1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1883€</t>
        </r>
      </text>
    </comment>
    <comment ref="G1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1,993€, lekked 17,172€</t>
        </r>
      </text>
    </comment>
    <comment ref="C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0,826€</t>
        </r>
      </text>
    </comment>
    <comment ref="G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0,879€</t>
        </r>
      </text>
    </comment>
    <comment ref="I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0,051€</t>
        </r>
      </text>
    </comment>
    <comment ref="C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0,979€</t>
        </r>
      </text>
    </comment>
    <comment ref="D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16 365€ ja puhastamine 56948€</t>
        </r>
      </text>
    </comment>
    <comment ref="E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ärajuhtimine 20309€ ja puhastamine 110994€</t>
        </r>
      </text>
    </comment>
    <comment ref="G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1,187€</t>
        </r>
      </text>
    </comment>
    <comment ref="I2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0,085€</t>
        </r>
      </text>
    </comment>
    <comment ref="G4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0,215€</t>
        </r>
      </text>
    </comment>
    <comment ref="I4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sh põllumaj.ettevõtted 0,199€</t>
        </r>
      </text>
    </comment>
  </commentList>
</comments>
</file>

<file path=xl/sharedStrings.xml><?xml version="1.0" encoding="utf-8"?>
<sst xmlns="http://schemas.openxmlformats.org/spreadsheetml/2006/main" count="642" uniqueCount="181">
  <si>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</si>
  <si>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TABEL 1</t>
  </si>
  <si>
    <t>Veeteenus</t>
  </si>
  <si>
    <t>Kanal.</t>
  </si>
  <si>
    <t>Veeteen.</t>
  </si>
  <si>
    <t>Kanal.teen.</t>
  </si>
  <si>
    <t>Abonenttasu</t>
  </si>
  <si>
    <t xml:space="preserve">Teenindatav </t>
  </si>
  <si>
    <t>teenus</t>
  </si>
  <si>
    <t>saadud tulu</t>
  </si>
  <si>
    <t>ühele</t>
  </si>
  <si>
    <t>Ettevõtted</t>
  </si>
  <si>
    <t>piirkond</t>
  </si>
  <si>
    <t>abonent-</t>
  </si>
  <si>
    <r>
      <t>m</t>
    </r>
    <r>
      <rPr>
        <vertAlign val="superscript"/>
        <sz val="8"/>
        <rFont val="Arial"/>
        <family val="2"/>
      </rPr>
      <t>3</t>
    </r>
  </si>
  <si>
    <r>
      <t>tuh m</t>
    </r>
    <r>
      <rPr>
        <vertAlign val="superscript"/>
        <sz val="8"/>
        <rFont val="Arial"/>
        <family val="2"/>
      </rPr>
      <t>3</t>
    </r>
  </si>
  <si>
    <t>tasust</t>
  </si>
  <si>
    <t>veeteenus</t>
  </si>
  <si>
    <t>kanal.teen.</t>
  </si>
  <si>
    <t>veeteenue</t>
  </si>
  <si>
    <t>€</t>
  </si>
  <si>
    <t>elanikkond</t>
  </si>
  <si>
    <t>asutused</t>
  </si>
  <si>
    <t>Haapsalu</t>
  </si>
  <si>
    <t>Karksi-Nuia</t>
  </si>
  <si>
    <t>Emajõe Veevärk AS</t>
  </si>
  <si>
    <t>Jõgeva Veevärk OÜ</t>
  </si>
  <si>
    <t>Järvakandi Komm.OÜ</t>
  </si>
  <si>
    <t>Järvakandi</t>
  </si>
  <si>
    <t>Järve Biopuhastus OÜ</t>
  </si>
  <si>
    <t>Ida-Virumaa</t>
  </si>
  <si>
    <t>Kadrina Soojus AS</t>
  </si>
  <si>
    <t>Kadrina</t>
  </si>
  <si>
    <t>Keila Vesi AS</t>
  </si>
  <si>
    <t>Kiviõli Vesi OÜ</t>
  </si>
  <si>
    <t>Kohila Maja OÜ</t>
  </si>
  <si>
    <t>Kohila</t>
  </si>
  <si>
    <t>Kose Vesi OÜ</t>
  </si>
  <si>
    <t>Kose</t>
  </si>
  <si>
    <t>Kuressaare Veevärk AS</t>
  </si>
  <si>
    <t>Kuressaare</t>
  </si>
  <si>
    <t>Kärdla Veevärk AS</t>
  </si>
  <si>
    <t>Lahevesi AS</t>
  </si>
  <si>
    <t>Matsalu Veevärk AS</t>
  </si>
  <si>
    <t>Põltsamaa Varahalduse OÜ</t>
  </si>
  <si>
    <t>Paide Vesi AS</t>
  </si>
  <si>
    <t>Paide</t>
  </si>
  <si>
    <t>Paldiski</t>
  </si>
  <si>
    <t>Põlva Vesi  AS</t>
  </si>
  <si>
    <t>Pärnu Vesi AS</t>
  </si>
  <si>
    <t>Rakvere Vesi AS</t>
  </si>
  <si>
    <t>Rakvere</t>
  </si>
  <si>
    <t>Rapla Vesi AS</t>
  </si>
  <si>
    <t>Sillamäe Veevärk AS</t>
  </si>
  <si>
    <t>Sillamäe</t>
  </si>
  <si>
    <t>Tabasalu</t>
  </si>
  <si>
    <t>Saku Maja AS</t>
  </si>
  <si>
    <t>Tallinna Vesi AS</t>
  </si>
  <si>
    <t>Tallinn</t>
  </si>
  <si>
    <t>Tapa</t>
  </si>
  <si>
    <t>Tartu Veevärk AS</t>
  </si>
  <si>
    <t>Tartu</t>
  </si>
  <si>
    <t>Tõrva</t>
  </si>
  <si>
    <t>Türi Vesi OÜ</t>
  </si>
  <si>
    <t>Valga Vesi AS</t>
  </si>
  <si>
    <t>Valga</t>
  </si>
  <si>
    <t>Viljandi Veevärk AS</t>
  </si>
  <si>
    <t>Viljandi</t>
  </si>
  <si>
    <t>Vändra MP OÜ</t>
  </si>
  <si>
    <t>Vändra</t>
  </si>
  <si>
    <t>VEETEENUSTE HIND ETTEVÕTETELE                     TABEL 3</t>
  </si>
  <si>
    <t>TARIIFID</t>
  </si>
  <si>
    <t>Vesi (tariif)</t>
  </si>
  <si>
    <t>Kanal.(tariif)</t>
  </si>
  <si>
    <t>Vesi+kanal</t>
  </si>
  <si>
    <t>VESI</t>
  </si>
  <si>
    <t>KANALISATSIOON</t>
  </si>
  <si>
    <t>VEE HIND</t>
  </si>
  <si>
    <t>Teenindatav</t>
  </si>
  <si>
    <t>+</t>
  </si>
  <si>
    <t>vesi+</t>
  </si>
  <si>
    <t>KANAL.</t>
  </si>
  <si>
    <t>vesi+kanal.</t>
  </si>
  <si>
    <t>abonentt.</t>
  </si>
  <si>
    <t>tasuga</t>
  </si>
  <si>
    <t>kanal</t>
  </si>
  <si>
    <r>
      <t>€/m</t>
    </r>
    <r>
      <rPr>
        <vertAlign val="superscript"/>
        <sz val="8"/>
        <rFont val="Arial"/>
        <family val="2"/>
      </rPr>
      <t>3</t>
    </r>
  </si>
  <si>
    <r>
      <t>kr/m</t>
    </r>
    <r>
      <rPr>
        <vertAlign val="superscript"/>
        <sz val="8"/>
        <rFont val="Arial"/>
        <family val="2"/>
      </rPr>
      <t>3</t>
    </r>
  </si>
  <si>
    <t xml:space="preserve">Kiviõli </t>
  </si>
  <si>
    <t>Paldiski Linnahoolduse  OÜ</t>
  </si>
  <si>
    <t xml:space="preserve"> </t>
  </si>
  <si>
    <t>Strantum OÜ</t>
  </si>
  <si>
    <t>VEETEENUSTE HIND ELANIKKONNALE (käibemaksuga)                      TABEL 2</t>
  </si>
  <si>
    <t>Kanal.(tarrif)</t>
  </si>
  <si>
    <t>Keila vald</t>
  </si>
  <si>
    <t>Iivakivi AS</t>
  </si>
  <si>
    <t>VEETEENUSTE HIND ETTEVÕTETELE</t>
  </si>
  <si>
    <t>Vesi</t>
  </si>
  <si>
    <t>Elanikk.</t>
  </si>
  <si>
    <t>Asutustele</t>
  </si>
  <si>
    <t>KESKMINE</t>
  </si>
  <si>
    <r>
      <t>Müüdud  (tuh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</si>
  <si>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Vesi+kanal kokku</t>
  </si>
  <si>
    <t>Vee-ettevõtja</t>
  </si>
  <si>
    <t>Kanal</t>
  </si>
  <si>
    <t>Elanik.</t>
  </si>
  <si>
    <t>Asutused</t>
  </si>
  <si>
    <t>Elanikk</t>
  </si>
  <si>
    <t>VEETEENUSTE HIND</t>
  </si>
  <si>
    <t>Elanikele</t>
  </si>
  <si>
    <t>Saku</t>
  </si>
  <si>
    <t>Esmar Ehitus AS</t>
  </si>
  <si>
    <t>Vihula valla Veevärk OÜ</t>
  </si>
  <si>
    <t>Kiili KVH OÜ</t>
  </si>
  <si>
    <t>Kiili</t>
  </si>
  <si>
    <t>Jõgeva vald</t>
  </si>
  <si>
    <t>Rae vald</t>
  </si>
  <si>
    <t>Viimsi vald</t>
  </si>
  <si>
    <t>Vihula vald</t>
  </si>
  <si>
    <r>
      <t>€/m</t>
    </r>
    <r>
      <rPr>
        <vertAlign val="superscript"/>
        <sz val="8"/>
        <color indexed="8"/>
        <rFont val="Arial"/>
        <family val="2"/>
      </rPr>
      <t>3</t>
    </r>
  </si>
  <si>
    <r>
      <t>€r/m</t>
    </r>
    <r>
      <rPr>
        <vertAlign val="superscript"/>
        <sz val="8"/>
        <color indexed="8"/>
        <rFont val="Arial"/>
        <family val="2"/>
      </rPr>
      <t>3</t>
    </r>
  </si>
  <si>
    <r>
      <t>kr/m</t>
    </r>
    <r>
      <rPr>
        <vertAlign val="superscript"/>
        <sz val="8"/>
        <color indexed="8"/>
        <rFont val="Arial"/>
        <family val="2"/>
      </rPr>
      <t>3</t>
    </r>
  </si>
  <si>
    <t>tuh.€</t>
  </si>
  <si>
    <t>€/m3</t>
  </si>
  <si>
    <t>Veeteenustest saadud tulu (tuh €)</t>
  </si>
  <si>
    <r>
      <t xml:space="preserve"> Veeteenustest saadud tulu (€) 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kohta</t>
    </r>
  </si>
  <si>
    <r>
      <t>€/m</t>
    </r>
    <r>
      <rPr>
        <vertAlign val="superscript"/>
        <sz val="9"/>
        <rFont val="Arial"/>
        <family val="2"/>
      </rPr>
      <t>3</t>
    </r>
  </si>
  <si>
    <t xml:space="preserve">Kokku </t>
  </si>
  <si>
    <t>Keskmine</t>
  </si>
  <si>
    <t xml:space="preserve">     TULU 1m3 VEETEENUSTE MÜÜGIST</t>
  </si>
  <si>
    <t>VEETEENUSTE HIND ELANIKKONNALE</t>
  </si>
  <si>
    <t>käibemaksuga</t>
  </si>
  <si>
    <t xml:space="preserve">Pärnu </t>
  </si>
  <si>
    <t xml:space="preserve">Rapla </t>
  </si>
  <si>
    <t>Türi vald</t>
  </si>
  <si>
    <t>* Kuremaa ENVEKO (eraldi arvestust välja ei jookse)</t>
  </si>
  <si>
    <t>Veeteenuste müügist saadud keskmine tulu (käibemaksuta) 1 m3 kohta on:</t>
  </si>
  <si>
    <t xml:space="preserve">Vee hind tabelites 2 ja 3 ning joonis (1-3) on kehtestatud tariifid koos käibemaksuga, millele on lisatud arvutuslik abonenttasu. 
See on tegelik hind, mida maksavad erinevad tarbijagrupid. </t>
  </si>
  <si>
    <t>Arvutuslik abonenttasu (tabel 1) 1m3 veeteenuste kohta on abonenttasust saadud tulu jagatud vastavat realiseeritud vee või 
kanaliseeritud vee kogusega. Tulemus (käibemaks lisatud) on liidetud tabel 2 (elanikkonnale) ja tabel 3 (ettevõtetele) tariifidele.</t>
  </si>
  <si>
    <t>seisuga 31.12.2011    0,99€/m3          1,34€/m3</t>
  </si>
  <si>
    <t>seisuga 01.01.2011    0,92€/m3          1,32€/m3</t>
  </si>
  <si>
    <t>seisuga 01.01.2010    0,85€/m3          1,17€/m3</t>
  </si>
  <si>
    <t>seisuga 01.01.2009    0,80€/m3          1,09€/m3</t>
  </si>
  <si>
    <t xml:space="preserve">                                Vesi                 Kanalisatsioon</t>
  </si>
  <si>
    <t>seisuga 31.12.2011    1,16 €/m3     1,56 €/m3</t>
  </si>
  <si>
    <t xml:space="preserve">                                 Vesi            Kanalisatsioon</t>
  </si>
  <si>
    <t>seisuga 01.01.2011    1,03 €/m3     1,45 €/m3</t>
  </si>
  <si>
    <t>seisuga 01.01.2010    0,01 €/m3     1,38 €/m3</t>
  </si>
  <si>
    <t>seisuga 01.01.2009    0,98 €/m3     1,34 €/m3</t>
  </si>
  <si>
    <t>seisuga 01.01.2010    1,78 €/m3     2,10 €/m3</t>
  </si>
  <si>
    <t>seisuga 01.01.2009    1,66 €/m3     2,06 €/m3</t>
  </si>
  <si>
    <t>seisuga 01.01.2008    1,50 €/m3     1,88 €/m3</t>
  </si>
  <si>
    <t>seisuga 31.12.2011    1,86 €/m3     2,21 €/m3</t>
  </si>
  <si>
    <r>
      <t xml:space="preserve">Tabelis </t>
    </r>
    <r>
      <rPr>
        <b/>
        <sz val="10"/>
        <rFont val="Arial"/>
        <family val="2"/>
      </rPr>
      <t>„Veeteenuste hind elanikkonnale“</t>
    </r>
    <r>
      <rPr>
        <sz val="10"/>
        <rFont val="Arial"/>
        <family val="2"/>
      </rPr>
      <t xml:space="preserve"> esitatud ettevõtete keskmine veeteenuse hind elanikkonnale on:</t>
    </r>
  </si>
  <si>
    <r>
      <t xml:space="preserve">Tabelis </t>
    </r>
    <r>
      <rPr>
        <b/>
        <sz val="10"/>
        <rFont val="Arial"/>
        <family val="2"/>
      </rPr>
      <t xml:space="preserve">„Veeteenuste hind ettevõtetele“ </t>
    </r>
    <r>
      <rPr>
        <sz val="10"/>
        <rFont val="Arial"/>
        <family val="2"/>
      </rPr>
      <t>esitatud ettevõtete keskmine veeteenuse hind asutustele on:</t>
    </r>
  </si>
  <si>
    <t>Elveso AS</t>
  </si>
  <si>
    <t>Haapsalu Veevärk AS</t>
  </si>
  <si>
    <t>Kuremaa ENVEKO AS</t>
  </si>
  <si>
    <t>Tapa Vesi OÜ</t>
  </si>
  <si>
    <t>Tõrva Veejõud OÜ</t>
  </si>
  <si>
    <t>Viimsi Vesi AS</t>
  </si>
  <si>
    <t>Tallinna lähiümbrus</t>
  </si>
  <si>
    <t xml:space="preserve">Jõgeva </t>
  </si>
  <si>
    <t xml:space="preserve">Kärdla </t>
  </si>
  <si>
    <t xml:space="preserve">Keila </t>
  </si>
  <si>
    <t xml:space="preserve">Põltsamaa </t>
  </si>
  <si>
    <t>Põva</t>
  </si>
  <si>
    <r>
      <t>seisuga 30.06.2012.a  (käibemaksuga)    €/m</t>
    </r>
    <r>
      <rPr>
        <vertAlign val="superscript"/>
        <sz val="10"/>
        <rFont val="Arial"/>
        <family val="2"/>
      </rPr>
      <t xml:space="preserve">3            </t>
    </r>
  </si>
  <si>
    <t>seisuga 30.06.2012.a</t>
  </si>
  <si>
    <t>Vee hind seisuga 30.06.2012</t>
  </si>
  <si>
    <t>Veetarbimine 43 002 m3</t>
  </si>
  <si>
    <t>Heitvee ärajuhtimine 34,206 m3</t>
  </si>
  <si>
    <t>Müügitulu Vesi 49,911€ Kanal 47,043€</t>
  </si>
  <si>
    <t>Veetarbimine 43,002 m3</t>
  </si>
  <si>
    <r>
      <t>VEETEENUSTE MÜÜGIST SAADUD TULU (käibemaksuta) 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KOHTA  (eurot)   2012 I/pa                                TABEL 4</t>
    </r>
  </si>
  <si>
    <t>Kuressaare, keskmistatud hind</t>
  </si>
  <si>
    <r>
      <t xml:space="preserve">Kuressaare, </t>
    </r>
    <r>
      <rPr>
        <sz val="5"/>
        <color indexed="8"/>
        <rFont val="Arial"/>
        <family val="2"/>
      </rPr>
      <t>keskmistatud hind</t>
    </r>
  </si>
  <si>
    <t>Viimsi vald, keskmistatud hind</t>
  </si>
  <si>
    <r>
      <t>Viimsi vald,</t>
    </r>
    <r>
      <rPr>
        <sz val="5"/>
        <color indexed="8"/>
        <rFont val="Arial"/>
        <family val="2"/>
      </rPr>
      <t xml:space="preserve"> keskmistatud hind</t>
    </r>
  </si>
  <si>
    <r>
      <t xml:space="preserve">Paide, </t>
    </r>
    <r>
      <rPr>
        <sz val="6"/>
        <color indexed="8"/>
        <rFont val="Arial"/>
        <family val="2"/>
      </rPr>
      <t>keskmistatud hind</t>
    </r>
  </si>
  <si>
    <t>Pärnu linna hind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</si>
</sst>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h&quot;;&quot;Jah&quot;;&quot;Ei&quot;"/>
    <numFmt numFmtId="168" formatCode="&quot;Tõene&quot;;&quot;Tõene&quot;;&quot;Väär&quot;"/>
    <numFmt numFmtId="169" formatCode="&quot;Sees&quot;;&quot;Sees&quot;;&quot;Väljas&quot;"/>
    <numFmt numFmtId="170" formatCode="[$€-2]\ #,##0.00_);[Red]\([$€-2]\ #,##0.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2"/>
      <name val="Bookman Old Style"/>
      <family val="1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51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7" borderId="2" applyNumberFormat="0" applyAlignment="0" applyProtection="0"/>
    <xf numFmtId="0" fontId="56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43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60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7" fillId="38" borderId="18" applyNumberFormat="0" applyAlignment="0" applyProtection="0"/>
  </cellStyleXfs>
  <cellXfs count="208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2" fontId="20" fillId="55" borderId="23" xfId="0" applyNumberFormat="1" applyFont="1" applyFill="1" applyBorder="1" applyAlignment="1">
      <alignment/>
    </xf>
    <xf numFmtId="0" fontId="0" fillId="55" borderId="0" xfId="0" applyFont="1" applyFill="1" applyAlignment="1">
      <alignment/>
    </xf>
    <xf numFmtId="2" fontId="20" fillId="55" borderId="23" xfId="0" applyNumberFormat="1" applyFont="1" applyFill="1" applyBorder="1" applyAlignment="1">
      <alignment horizontal="center"/>
    </xf>
    <xf numFmtId="2" fontId="31" fillId="55" borderId="24" xfId="0" applyNumberFormat="1" applyFont="1" applyFill="1" applyBorder="1" applyAlignment="1">
      <alignment/>
    </xf>
    <xf numFmtId="2" fontId="31" fillId="55" borderId="23" xfId="0" applyNumberFormat="1" applyFont="1" applyFill="1" applyBorder="1" applyAlignment="1">
      <alignment/>
    </xf>
    <xf numFmtId="0" fontId="33" fillId="55" borderId="0" xfId="0" applyFont="1" applyFill="1" applyAlignment="1">
      <alignment/>
    </xf>
    <xf numFmtId="2" fontId="20" fillId="55" borderId="24" xfId="0" applyNumberFormat="1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31" fillId="4" borderId="25" xfId="0" applyFont="1" applyFill="1" applyBorder="1" applyAlignment="1">
      <alignment horizontal="center"/>
    </xf>
    <xf numFmtId="0" fontId="31" fillId="4" borderId="25" xfId="0" applyFont="1" applyFill="1" applyBorder="1" applyAlignment="1">
      <alignment/>
    </xf>
    <xf numFmtId="0" fontId="31" fillId="55" borderId="25" xfId="0" applyFont="1" applyFill="1" applyBorder="1" applyAlignment="1">
      <alignment horizontal="right"/>
    </xf>
    <xf numFmtId="0" fontId="20" fillId="55" borderId="25" xfId="0" applyFont="1" applyFill="1" applyBorder="1" applyAlignment="1">
      <alignment horizontal="right"/>
    </xf>
    <xf numFmtId="2" fontId="20" fillId="55" borderId="25" xfId="0" applyNumberFormat="1" applyFont="1" applyFill="1" applyBorder="1" applyAlignment="1">
      <alignment horizontal="right"/>
    </xf>
    <xf numFmtId="0" fontId="18" fillId="55" borderId="26" xfId="0" applyFont="1" applyFill="1" applyBorder="1" applyAlignment="1">
      <alignment/>
    </xf>
    <xf numFmtId="2" fontId="18" fillId="55" borderId="27" xfId="0" applyNumberFormat="1" applyFont="1" applyFill="1" applyBorder="1" applyAlignment="1">
      <alignment/>
    </xf>
    <xf numFmtId="2" fontId="18" fillId="55" borderId="28" xfId="0" applyNumberFormat="1" applyFont="1" applyFill="1" applyBorder="1" applyAlignment="1">
      <alignment/>
    </xf>
    <xf numFmtId="0" fontId="20" fillId="4" borderId="25" xfId="0" applyFont="1" applyFill="1" applyBorder="1" applyAlignment="1">
      <alignment horizontal="center"/>
    </xf>
    <xf numFmtId="0" fontId="20" fillId="4" borderId="25" xfId="0" applyFont="1" applyFill="1" applyBorder="1" applyAlignment="1">
      <alignment/>
    </xf>
    <xf numFmtId="0" fontId="31" fillId="55" borderId="25" xfId="0" applyFont="1" applyFill="1" applyBorder="1" applyAlignment="1">
      <alignment/>
    </xf>
    <xf numFmtId="2" fontId="31" fillId="55" borderId="25" xfId="0" applyNumberFormat="1" applyFont="1" applyFill="1" applyBorder="1" applyAlignment="1">
      <alignment horizontal="right"/>
    </xf>
    <xf numFmtId="2" fontId="26" fillId="55" borderId="23" xfId="0" applyNumberFormat="1" applyFont="1" applyFill="1" applyBorder="1" applyAlignment="1">
      <alignment/>
    </xf>
    <xf numFmtId="2" fontId="27" fillId="55" borderId="23" xfId="0" applyNumberFormat="1" applyFont="1" applyFill="1" applyBorder="1" applyAlignment="1">
      <alignment/>
    </xf>
    <xf numFmtId="2" fontId="26" fillId="55" borderId="29" xfId="0" applyNumberFormat="1" applyFont="1" applyFill="1" applyBorder="1" applyAlignment="1">
      <alignment/>
    </xf>
    <xf numFmtId="0" fontId="0" fillId="55" borderId="0" xfId="0" applyFill="1" applyAlignment="1">
      <alignment/>
    </xf>
    <xf numFmtId="0" fontId="0" fillId="0" borderId="25" xfId="0" applyBorder="1" applyAlignment="1">
      <alignment/>
    </xf>
    <xf numFmtId="2" fontId="26" fillId="55" borderId="30" xfId="0" applyNumberFormat="1" applyFont="1" applyFill="1" applyBorder="1" applyAlignment="1">
      <alignment/>
    </xf>
    <xf numFmtId="2" fontId="26" fillId="55" borderId="23" xfId="0" applyNumberFormat="1" applyFont="1" applyFill="1" applyBorder="1" applyAlignment="1">
      <alignment horizontal="right"/>
    </xf>
    <xf numFmtId="2" fontId="0" fillId="0" borderId="25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24" fillId="0" borderId="32" xfId="0" applyNumberFormat="1" applyFont="1" applyBorder="1" applyAlignment="1">
      <alignment/>
    </xf>
    <xf numFmtId="2" fontId="24" fillId="0" borderId="33" xfId="0" applyNumberFormat="1" applyFont="1" applyBorder="1" applyAlignment="1">
      <alignment/>
    </xf>
    <xf numFmtId="0" fontId="18" fillId="55" borderId="25" xfId="0" applyFont="1" applyFill="1" applyBorder="1" applyAlignment="1">
      <alignment horizontal="right"/>
    </xf>
    <xf numFmtId="2" fontId="20" fillId="55" borderId="34" xfId="0" applyNumberFormat="1" applyFont="1" applyFill="1" applyBorder="1" applyAlignment="1">
      <alignment/>
    </xf>
    <xf numFmtId="2" fontId="20" fillId="55" borderId="35" xfId="0" applyNumberFormat="1" applyFont="1" applyFill="1" applyBorder="1" applyAlignment="1">
      <alignment/>
    </xf>
    <xf numFmtId="0" fontId="23" fillId="55" borderId="0" xfId="0" applyFont="1" applyFill="1" applyAlignment="1">
      <alignment/>
    </xf>
    <xf numFmtId="0" fontId="0" fillId="55" borderId="0" xfId="0" applyFont="1" applyFill="1" applyAlignment="1">
      <alignment horizontal="center"/>
    </xf>
    <xf numFmtId="0" fontId="24" fillId="55" borderId="0" xfId="0" applyFont="1" applyFill="1" applyAlignment="1">
      <alignment horizontal="center"/>
    </xf>
    <xf numFmtId="0" fontId="18" fillId="55" borderId="0" xfId="0" applyFont="1" applyFill="1" applyAlignment="1">
      <alignment/>
    </xf>
    <xf numFmtId="0" fontId="20" fillId="55" borderId="0" xfId="0" applyFont="1" applyFill="1" applyAlignment="1">
      <alignment/>
    </xf>
    <xf numFmtId="0" fontId="21" fillId="55" borderId="0" xfId="0" applyFont="1" applyFill="1" applyAlignment="1">
      <alignment/>
    </xf>
    <xf numFmtId="0" fontId="29" fillId="55" borderId="0" xfId="0" applyFont="1" applyFill="1" applyBorder="1" applyAlignment="1">
      <alignment/>
    </xf>
    <xf numFmtId="0" fontId="33" fillId="55" borderId="0" xfId="0" applyFont="1" applyFill="1" applyAlignment="1">
      <alignment horizontal="center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horizontal="center"/>
    </xf>
    <xf numFmtId="0" fontId="31" fillId="55" borderId="36" xfId="0" applyFont="1" applyFill="1" applyBorder="1" applyAlignment="1">
      <alignment horizontal="center"/>
    </xf>
    <xf numFmtId="0" fontId="31" fillId="55" borderId="37" xfId="0" applyFont="1" applyFill="1" applyBorder="1" applyAlignment="1">
      <alignment horizontal="center"/>
    </xf>
    <xf numFmtId="0" fontId="31" fillId="55" borderId="36" xfId="0" applyFont="1" applyFill="1" applyBorder="1" applyAlignment="1">
      <alignment/>
    </xf>
    <xf numFmtId="0" fontId="31" fillId="55" borderId="0" xfId="0" applyFont="1" applyFill="1" applyBorder="1" applyAlignment="1">
      <alignment/>
    </xf>
    <xf numFmtId="0" fontId="31" fillId="55" borderId="30" xfId="0" applyFont="1" applyFill="1" applyBorder="1" applyAlignment="1">
      <alignment/>
    </xf>
    <xf numFmtId="0" fontId="31" fillId="55" borderId="0" xfId="0" applyFont="1" applyFill="1" applyBorder="1" applyAlignment="1">
      <alignment horizontal="center"/>
    </xf>
    <xf numFmtId="0" fontId="31" fillId="55" borderId="38" xfId="0" applyFont="1" applyFill="1" applyBorder="1" applyAlignment="1">
      <alignment horizontal="center"/>
    </xf>
    <xf numFmtId="0" fontId="31" fillId="55" borderId="39" xfId="0" applyFont="1" applyFill="1" applyBorder="1" applyAlignment="1">
      <alignment horizontal="center"/>
    </xf>
    <xf numFmtId="2" fontId="31" fillId="55" borderId="35" xfId="0" applyNumberFormat="1" applyFont="1" applyFill="1" applyBorder="1" applyAlignment="1">
      <alignment/>
    </xf>
    <xf numFmtId="2" fontId="31" fillId="55" borderId="34" xfId="0" applyNumberFormat="1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26" fillId="10" borderId="40" xfId="0" applyFont="1" applyFill="1" applyBorder="1" applyAlignment="1">
      <alignment/>
    </xf>
    <xf numFmtId="0" fontId="26" fillId="10" borderId="41" xfId="0" applyFont="1" applyFill="1" applyBorder="1" applyAlignment="1">
      <alignment horizontal="left"/>
    </xf>
    <xf numFmtId="0" fontId="26" fillId="10" borderId="42" xfId="0" applyFont="1" applyFill="1" applyBorder="1" applyAlignment="1">
      <alignment/>
    </xf>
    <xf numFmtId="0" fontId="0" fillId="10" borderId="0" xfId="0" applyFont="1" applyFill="1" applyAlignment="1">
      <alignment/>
    </xf>
    <xf numFmtId="0" fontId="26" fillId="10" borderId="30" xfId="0" applyFont="1" applyFill="1" applyBorder="1" applyAlignment="1">
      <alignment/>
    </xf>
    <xf numFmtId="0" fontId="26" fillId="10" borderId="34" xfId="0" applyFont="1" applyFill="1" applyBorder="1" applyAlignment="1">
      <alignment/>
    </xf>
    <xf numFmtId="0" fontId="26" fillId="10" borderId="23" xfId="0" applyFont="1" applyFill="1" applyBorder="1" applyAlignment="1">
      <alignment/>
    </xf>
    <xf numFmtId="0" fontId="18" fillId="55" borderId="43" xfId="0" applyFont="1" applyFill="1" applyBorder="1" applyAlignment="1">
      <alignment/>
    </xf>
    <xf numFmtId="0" fontId="20" fillId="56" borderId="44" xfId="0" applyFont="1" applyFill="1" applyBorder="1" applyAlignment="1">
      <alignment/>
    </xf>
    <xf numFmtId="0" fontId="20" fillId="56" borderId="45" xfId="0" applyFont="1" applyFill="1" applyBorder="1" applyAlignment="1">
      <alignment/>
    </xf>
    <xf numFmtId="0" fontId="20" fillId="56" borderId="37" xfId="0" applyFont="1" applyFill="1" applyBorder="1" applyAlignment="1">
      <alignment horizontal="center"/>
    </xf>
    <xf numFmtId="0" fontId="20" fillId="56" borderId="37" xfId="0" applyFont="1" applyFill="1" applyBorder="1" applyAlignment="1">
      <alignment horizontal="right"/>
    </xf>
    <xf numFmtId="0" fontId="20" fillId="56" borderId="45" xfId="0" applyFont="1" applyFill="1" applyBorder="1" applyAlignment="1">
      <alignment horizontal="center"/>
    </xf>
    <xf numFmtId="0" fontId="20" fillId="56" borderId="46" xfId="0" applyFont="1" applyFill="1" applyBorder="1" applyAlignment="1">
      <alignment horizontal="center"/>
    </xf>
    <xf numFmtId="0" fontId="20" fillId="56" borderId="47" xfId="0" applyFont="1" applyFill="1" applyBorder="1" applyAlignment="1">
      <alignment/>
    </xf>
    <xf numFmtId="0" fontId="20" fillId="56" borderId="48" xfId="0" applyFont="1" applyFill="1" applyBorder="1" applyAlignment="1">
      <alignment horizontal="center"/>
    </xf>
    <xf numFmtId="0" fontId="20" fillId="56" borderId="30" xfId="0" applyFont="1" applyFill="1" applyBorder="1" applyAlignment="1">
      <alignment horizontal="center"/>
    </xf>
    <xf numFmtId="0" fontId="20" fillId="56" borderId="49" xfId="0" applyFont="1" applyFill="1" applyBorder="1" applyAlignment="1">
      <alignment horizontal="center"/>
    </xf>
    <xf numFmtId="0" fontId="20" fillId="56" borderId="47" xfId="0" applyFont="1" applyFill="1" applyBorder="1" applyAlignment="1">
      <alignment horizontal="center"/>
    </xf>
    <xf numFmtId="0" fontId="20" fillId="56" borderId="48" xfId="0" applyFont="1" applyFill="1" applyBorder="1" applyAlignment="1">
      <alignment/>
    </xf>
    <xf numFmtId="0" fontId="20" fillId="56" borderId="50" xfId="0" applyFont="1" applyFill="1" applyBorder="1" applyAlignment="1">
      <alignment/>
    </xf>
    <xf numFmtId="0" fontId="20" fillId="56" borderId="51" xfId="0" applyFont="1" applyFill="1" applyBorder="1" applyAlignment="1">
      <alignment/>
    </xf>
    <xf numFmtId="0" fontId="20" fillId="56" borderId="34" xfId="0" applyFont="1" applyFill="1" applyBorder="1" applyAlignment="1">
      <alignment horizontal="center"/>
    </xf>
    <xf numFmtId="0" fontId="18" fillId="56" borderId="30" xfId="0" applyFont="1" applyFill="1" applyBorder="1" applyAlignment="1">
      <alignment horizontal="center"/>
    </xf>
    <xf numFmtId="0" fontId="18" fillId="56" borderId="49" xfId="0" applyFont="1" applyFill="1" applyBorder="1" applyAlignment="1">
      <alignment horizontal="center"/>
    </xf>
    <xf numFmtId="0" fontId="20" fillId="56" borderId="52" xfId="0" applyFont="1" applyFill="1" applyBorder="1" applyAlignment="1">
      <alignment horizontal="center"/>
    </xf>
    <xf numFmtId="0" fontId="20" fillId="56" borderId="53" xfId="0" applyFont="1" applyFill="1" applyBorder="1" applyAlignment="1">
      <alignment horizontal="center"/>
    </xf>
    <xf numFmtId="0" fontId="20" fillId="56" borderId="54" xfId="0" applyFont="1" applyFill="1" applyBorder="1" applyAlignment="1">
      <alignment horizontal="center"/>
    </xf>
    <xf numFmtId="0" fontId="20" fillId="56" borderId="55" xfId="0" applyFont="1" applyFill="1" applyBorder="1" applyAlignment="1">
      <alignment horizontal="center"/>
    </xf>
    <xf numFmtId="0" fontId="20" fillId="56" borderId="56" xfId="0" applyFont="1" applyFill="1" applyBorder="1" applyAlignment="1">
      <alignment horizontal="center"/>
    </xf>
    <xf numFmtId="0" fontId="20" fillId="56" borderId="57" xfId="0" applyFont="1" applyFill="1" applyBorder="1" applyAlignment="1">
      <alignment horizontal="center"/>
    </xf>
    <xf numFmtId="0" fontId="31" fillId="56" borderId="44" xfId="0" applyFont="1" applyFill="1" applyBorder="1" applyAlignment="1">
      <alignment/>
    </xf>
    <xf numFmtId="0" fontId="31" fillId="56" borderId="45" xfId="0" applyFont="1" applyFill="1" applyBorder="1" applyAlignment="1">
      <alignment/>
    </xf>
    <xf numFmtId="0" fontId="31" fillId="56" borderId="58" xfId="0" applyFont="1" applyFill="1" applyBorder="1" applyAlignment="1">
      <alignment horizontal="center"/>
    </xf>
    <xf numFmtId="0" fontId="31" fillId="56" borderId="36" xfId="0" applyFont="1" applyFill="1" applyBorder="1" applyAlignment="1">
      <alignment horizontal="center"/>
    </xf>
    <xf numFmtId="0" fontId="31" fillId="56" borderId="46" xfId="0" applyFont="1" applyFill="1" applyBorder="1" applyAlignment="1">
      <alignment horizontal="center"/>
    </xf>
    <xf numFmtId="0" fontId="31" fillId="56" borderId="47" xfId="0" applyFont="1" applyFill="1" applyBorder="1" applyAlignment="1">
      <alignment/>
    </xf>
    <xf numFmtId="0" fontId="31" fillId="56" borderId="48" xfId="0" applyFont="1" applyFill="1" applyBorder="1" applyAlignment="1">
      <alignment horizontal="center"/>
    </xf>
    <xf numFmtId="0" fontId="31" fillId="56" borderId="59" xfId="0" applyFont="1" applyFill="1" applyBorder="1" applyAlignment="1">
      <alignment/>
    </xf>
    <xf numFmtId="0" fontId="31" fillId="56" borderId="60" xfId="0" applyFont="1" applyFill="1" applyBorder="1" applyAlignment="1">
      <alignment/>
    </xf>
    <xf numFmtId="0" fontId="31" fillId="56" borderId="61" xfId="0" applyFont="1" applyFill="1" applyBorder="1" applyAlignment="1">
      <alignment horizontal="center"/>
    </xf>
    <xf numFmtId="0" fontId="31" fillId="56" borderId="62" xfId="0" applyFont="1" applyFill="1" applyBorder="1" applyAlignment="1">
      <alignment horizontal="center"/>
    </xf>
    <xf numFmtId="0" fontId="31" fillId="56" borderId="0" xfId="0" applyFont="1" applyFill="1" applyBorder="1" applyAlignment="1">
      <alignment horizontal="center"/>
    </xf>
    <xf numFmtId="0" fontId="32" fillId="56" borderId="49" xfId="0" applyFont="1" applyFill="1" applyBorder="1" applyAlignment="1">
      <alignment horizontal="center"/>
    </xf>
    <xf numFmtId="0" fontId="31" fillId="56" borderId="47" xfId="0" applyFont="1" applyFill="1" applyBorder="1" applyAlignment="1">
      <alignment horizontal="center"/>
    </xf>
    <xf numFmtId="0" fontId="31" fillId="56" borderId="63" xfId="0" applyFont="1" applyFill="1" applyBorder="1" applyAlignment="1">
      <alignment horizontal="center"/>
    </xf>
    <xf numFmtId="0" fontId="31" fillId="56" borderId="30" xfId="0" applyFont="1" applyFill="1" applyBorder="1" applyAlignment="1">
      <alignment horizontal="center"/>
    </xf>
    <xf numFmtId="0" fontId="31" fillId="56" borderId="64" xfId="0" applyFont="1" applyFill="1" applyBorder="1" applyAlignment="1">
      <alignment horizontal="center"/>
    </xf>
    <xf numFmtId="0" fontId="32" fillId="56" borderId="62" xfId="0" applyFont="1" applyFill="1" applyBorder="1" applyAlignment="1">
      <alignment horizontal="center"/>
    </xf>
    <xf numFmtId="0" fontId="32" fillId="56" borderId="0" xfId="0" applyFont="1" applyFill="1" applyBorder="1" applyAlignment="1">
      <alignment horizontal="center"/>
    </xf>
    <xf numFmtId="0" fontId="31" fillId="56" borderId="48" xfId="0" applyFont="1" applyFill="1" applyBorder="1" applyAlignment="1">
      <alignment/>
    </xf>
    <xf numFmtId="0" fontId="31" fillId="56" borderId="49" xfId="0" applyFont="1" applyFill="1" applyBorder="1" applyAlignment="1">
      <alignment horizontal="center"/>
    </xf>
    <xf numFmtId="0" fontId="20" fillId="20" borderId="0" xfId="0" applyFont="1" applyFill="1" applyBorder="1" applyAlignment="1">
      <alignment/>
    </xf>
    <xf numFmtId="0" fontId="20" fillId="20" borderId="0" xfId="0" applyFont="1" applyFill="1" applyBorder="1" applyAlignment="1">
      <alignment horizontal="center"/>
    </xf>
    <xf numFmtId="0" fontId="20" fillId="56" borderId="0" xfId="0" applyFont="1" applyFill="1" applyBorder="1" applyAlignment="1">
      <alignment/>
    </xf>
    <xf numFmtId="0" fontId="23" fillId="56" borderId="0" xfId="0" applyFont="1" applyFill="1" applyBorder="1" applyAlignment="1">
      <alignment/>
    </xf>
    <xf numFmtId="0" fontId="20" fillId="56" borderId="65" xfId="0" applyFont="1" applyFill="1" applyBorder="1" applyAlignment="1">
      <alignment horizontal="center"/>
    </xf>
    <xf numFmtId="0" fontId="20" fillId="56" borderId="66" xfId="0" applyFont="1" applyFill="1" applyBorder="1" applyAlignment="1">
      <alignment horizontal="center"/>
    </xf>
    <xf numFmtId="0" fontId="20" fillId="56" borderId="31" xfId="0" applyFont="1" applyFill="1" applyBorder="1" applyAlignment="1">
      <alignment/>
    </xf>
    <xf numFmtId="0" fontId="20" fillId="56" borderId="31" xfId="0" applyFont="1" applyFill="1" applyBorder="1" applyAlignment="1">
      <alignment horizontal="center"/>
    </xf>
    <xf numFmtId="0" fontId="18" fillId="56" borderId="31" xfId="0" applyFont="1" applyFill="1" applyBorder="1" applyAlignment="1">
      <alignment horizontal="center"/>
    </xf>
    <xf numFmtId="0" fontId="20" fillId="56" borderId="67" xfId="0" applyFont="1" applyFill="1" applyBorder="1" applyAlignment="1">
      <alignment horizontal="center"/>
    </xf>
    <xf numFmtId="0" fontId="20" fillId="56" borderId="67" xfId="0" applyFont="1" applyFill="1" applyBorder="1" applyAlignment="1">
      <alignment/>
    </xf>
    <xf numFmtId="0" fontId="18" fillId="56" borderId="67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24" fillId="55" borderId="27" xfId="0" applyNumberFormat="1" applyFont="1" applyFill="1" applyBorder="1" applyAlignment="1">
      <alignment/>
    </xf>
    <xf numFmtId="2" fontId="24" fillId="55" borderId="68" xfId="0" applyNumberFormat="1" applyFont="1" applyFill="1" applyBorder="1" applyAlignment="1">
      <alignment/>
    </xf>
    <xf numFmtId="2" fontId="24" fillId="55" borderId="69" xfId="0" applyNumberFormat="1" applyFont="1" applyFill="1" applyBorder="1" applyAlignment="1">
      <alignment/>
    </xf>
    <xf numFmtId="2" fontId="0" fillId="55" borderId="27" xfId="0" applyNumberFormat="1" applyFont="1" applyFill="1" applyBorder="1" applyAlignment="1">
      <alignment/>
    </xf>
    <xf numFmtId="2" fontId="0" fillId="55" borderId="28" xfId="0" applyNumberFormat="1" applyFont="1" applyFill="1" applyBorder="1" applyAlignment="1">
      <alignment/>
    </xf>
    <xf numFmtId="2" fontId="0" fillId="55" borderId="68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2" fontId="24" fillId="0" borderId="28" xfId="0" applyNumberFormat="1" applyFont="1" applyBorder="1" applyAlignment="1">
      <alignment/>
    </xf>
    <xf numFmtId="0" fontId="20" fillId="55" borderId="0" xfId="0" applyFont="1" applyFill="1" applyBorder="1" applyAlignment="1">
      <alignment/>
    </xf>
    <xf numFmtId="2" fontId="29" fillId="55" borderId="34" xfId="0" applyNumberFormat="1" applyFont="1" applyFill="1" applyBorder="1" applyAlignment="1">
      <alignment/>
    </xf>
    <xf numFmtId="0" fontId="30" fillId="55" borderId="0" xfId="0" applyFont="1" applyFill="1" applyAlignment="1">
      <alignment/>
    </xf>
    <xf numFmtId="0" fontId="32" fillId="55" borderId="25" xfId="0" applyFont="1" applyFill="1" applyBorder="1" applyAlignment="1">
      <alignment horizontal="right"/>
    </xf>
    <xf numFmtId="0" fontId="31" fillId="55" borderId="0" xfId="0" applyFont="1" applyFill="1" applyAlignment="1">
      <alignment/>
    </xf>
    <xf numFmtId="0" fontId="23" fillId="55" borderId="25" xfId="0" applyFont="1" applyFill="1" applyBorder="1" applyAlignment="1">
      <alignment/>
    </xf>
    <xf numFmtId="2" fontId="26" fillId="55" borderId="40" xfId="0" applyNumberFormat="1" applyFont="1" applyFill="1" applyBorder="1" applyAlignment="1">
      <alignment/>
    </xf>
    <xf numFmtId="2" fontId="26" fillId="55" borderId="41" xfId="0" applyNumberFormat="1" applyFont="1" applyFill="1" applyBorder="1" applyAlignment="1">
      <alignment/>
    </xf>
    <xf numFmtId="2" fontId="26" fillId="55" borderId="25" xfId="0" applyNumberFormat="1" applyFont="1" applyFill="1" applyBorder="1" applyAlignment="1">
      <alignment/>
    </xf>
    <xf numFmtId="2" fontId="26" fillId="55" borderId="24" xfId="0" applyNumberFormat="1" applyFont="1" applyFill="1" applyBorder="1" applyAlignment="1">
      <alignment/>
    </xf>
    <xf numFmtId="2" fontId="26" fillId="55" borderId="34" xfId="0" applyNumberFormat="1" applyFont="1" applyFill="1" applyBorder="1" applyAlignment="1">
      <alignment/>
    </xf>
    <xf numFmtId="2" fontId="27" fillId="55" borderId="40" xfId="0" applyNumberFormat="1" applyFont="1" applyFill="1" applyBorder="1" applyAlignment="1">
      <alignment/>
    </xf>
    <xf numFmtId="2" fontId="20" fillId="55" borderId="34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0" fontId="23" fillId="56" borderId="67" xfId="0" applyFont="1" applyFill="1" applyBorder="1" applyAlignment="1">
      <alignment/>
    </xf>
    <xf numFmtId="0" fontId="0" fillId="55" borderId="34" xfId="0" applyFont="1" applyFill="1" applyBorder="1" applyAlignment="1">
      <alignment/>
    </xf>
    <xf numFmtId="2" fontId="18" fillId="55" borderId="25" xfId="0" applyNumberFormat="1" applyFont="1" applyFill="1" applyBorder="1" applyAlignment="1">
      <alignment horizontal="right"/>
    </xf>
    <xf numFmtId="0" fontId="34" fillId="55" borderId="25" xfId="0" applyFont="1" applyFill="1" applyBorder="1" applyAlignment="1">
      <alignment horizontal="left"/>
    </xf>
    <xf numFmtId="0" fontId="34" fillId="55" borderId="25" xfId="0" applyFont="1" applyFill="1" applyBorder="1" applyAlignment="1">
      <alignment/>
    </xf>
    <xf numFmtId="2" fontId="32" fillId="55" borderId="25" xfId="0" applyNumberFormat="1" applyFont="1" applyFill="1" applyBorder="1" applyAlignment="1">
      <alignment horizontal="right"/>
    </xf>
    <xf numFmtId="2" fontId="29" fillId="55" borderId="35" xfId="0" applyNumberFormat="1" applyFont="1" applyFill="1" applyBorder="1" applyAlignment="1">
      <alignment/>
    </xf>
    <xf numFmtId="0" fontId="20" fillId="55" borderId="0" xfId="0" applyFont="1" applyFill="1" applyBorder="1" applyAlignment="1">
      <alignment horizontal="center"/>
    </xf>
    <xf numFmtId="2" fontId="20" fillId="55" borderId="0" xfId="0" applyNumberFormat="1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68" fillId="55" borderId="25" xfId="0" applyFont="1" applyFill="1" applyBorder="1" applyAlignment="1">
      <alignment/>
    </xf>
    <xf numFmtId="2" fontId="69" fillId="55" borderId="23" xfId="0" applyNumberFormat="1" applyFont="1" applyFill="1" applyBorder="1" applyAlignment="1">
      <alignment/>
    </xf>
    <xf numFmtId="2" fontId="70" fillId="55" borderId="23" xfId="0" applyNumberFormat="1" applyFont="1" applyFill="1" applyBorder="1" applyAlignment="1">
      <alignment/>
    </xf>
    <xf numFmtId="0" fontId="71" fillId="55" borderId="0" xfId="0" applyFont="1" applyFill="1" applyAlignment="1">
      <alignment/>
    </xf>
    <xf numFmtId="2" fontId="69" fillId="55" borderId="29" xfId="0" applyNumberFormat="1" applyFont="1" applyFill="1" applyBorder="1" applyAlignment="1">
      <alignment/>
    </xf>
    <xf numFmtId="0" fontId="20" fillId="55" borderId="70" xfId="0" applyFont="1" applyFill="1" applyBorder="1" applyAlignment="1">
      <alignment/>
    </xf>
    <xf numFmtId="2" fontId="26" fillId="55" borderId="34" xfId="0" applyNumberFormat="1" applyFont="1" applyFill="1" applyBorder="1" applyAlignment="1">
      <alignment horizontal="right"/>
    </xf>
    <xf numFmtId="2" fontId="27" fillId="55" borderId="34" xfId="0" applyNumberFormat="1" applyFont="1" applyFill="1" applyBorder="1" applyAlignment="1">
      <alignment/>
    </xf>
    <xf numFmtId="0" fontId="20" fillId="55" borderId="31" xfId="0" applyFont="1" applyFill="1" applyBorder="1" applyAlignment="1">
      <alignment/>
    </xf>
    <xf numFmtId="2" fontId="26" fillId="55" borderId="25" xfId="0" applyNumberFormat="1" applyFont="1" applyFill="1" applyBorder="1" applyAlignment="1">
      <alignment horizontal="right"/>
    </xf>
    <xf numFmtId="2" fontId="27" fillId="55" borderId="25" xfId="0" applyNumberFormat="1" applyFont="1" applyFill="1" applyBorder="1" applyAlignment="1">
      <alignment/>
    </xf>
    <xf numFmtId="0" fontId="0" fillId="55" borderId="25" xfId="0" applyFont="1" applyFill="1" applyBorder="1" applyAlignment="1">
      <alignment/>
    </xf>
    <xf numFmtId="0" fontId="26" fillId="55" borderId="0" xfId="0" applyFont="1" applyFill="1" applyAlignment="1">
      <alignment/>
    </xf>
    <xf numFmtId="2" fontId="26" fillId="55" borderId="31" xfId="0" applyNumberFormat="1" applyFont="1" applyFill="1" applyBorder="1" applyAlignment="1">
      <alignment/>
    </xf>
    <xf numFmtId="0" fontId="31" fillId="58" borderId="25" xfId="0" applyFont="1" applyFill="1" applyBorder="1" applyAlignment="1">
      <alignment horizontal="center"/>
    </xf>
    <xf numFmtId="0" fontId="0" fillId="57" borderId="0" xfId="0" applyFill="1" applyAlignment="1">
      <alignment/>
    </xf>
    <xf numFmtId="0" fontId="20" fillId="57" borderId="0" xfId="0" applyFont="1" applyFill="1" applyBorder="1" applyAlignment="1">
      <alignment/>
    </xf>
    <xf numFmtId="0" fontId="23" fillId="57" borderId="0" xfId="0" applyFont="1" applyFill="1" applyAlignment="1">
      <alignment/>
    </xf>
    <xf numFmtId="0" fontId="35" fillId="55" borderId="0" xfId="0" applyFont="1" applyFill="1" applyBorder="1" applyAlignment="1">
      <alignment horizontal="center"/>
    </xf>
    <xf numFmtId="0" fontId="33" fillId="55" borderId="0" xfId="0" applyFont="1" applyFill="1" applyBorder="1" applyAlignment="1">
      <alignment horizontal="center"/>
    </xf>
    <xf numFmtId="0" fontId="33" fillId="56" borderId="20" xfId="0" applyFont="1" applyFill="1" applyBorder="1" applyAlignment="1">
      <alignment horizontal="center"/>
    </xf>
    <xf numFmtId="0" fontId="24" fillId="20" borderId="71" xfId="0" applyFont="1" applyFill="1" applyBorder="1" applyAlignment="1">
      <alignment horizontal="center"/>
    </xf>
    <xf numFmtId="0" fontId="24" fillId="20" borderId="65" xfId="0" applyFont="1" applyFill="1" applyBorder="1" applyAlignment="1">
      <alignment horizontal="center"/>
    </xf>
    <xf numFmtId="0" fontId="24" fillId="20" borderId="66" xfId="0" applyFont="1" applyFill="1" applyBorder="1" applyAlignment="1">
      <alignment horizontal="center"/>
    </xf>
    <xf numFmtId="0" fontId="0" fillId="20" borderId="72" xfId="0" applyFont="1" applyFill="1" applyBorder="1" applyAlignment="1">
      <alignment horizontal="center"/>
    </xf>
    <xf numFmtId="0" fontId="0" fillId="20" borderId="73" xfId="0" applyFont="1" applyFill="1" applyBorder="1" applyAlignment="1">
      <alignment horizontal="center"/>
    </xf>
    <xf numFmtId="0" fontId="0" fillId="20" borderId="74" xfId="0" applyFont="1" applyFill="1" applyBorder="1" applyAlignment="1">
      <alignment horizontal="center"/>
    </xf>
    <xf numFmtId="0" fontId="20" fillId="56" borderId="71" xfId="0" applyFont="1" applyFill="1" applyBorder="1" applyAlignment="1">
      <alignment horizontal="center"/>
    </xf>
    <xf numFmtId="0" fontId="20" fillId="56" borderId="6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59" borderId="34" xfId="0" applyFont="1" applyFill="1" applyBorder="1" applyAlignment="1">
      <alignment horizontal="center"/>
    </xf>
    <xf numFmtId="0" fontId="26" fillId="10" borderId="23" xfId="0" applyFont="1" applyFill="1" applyBorder="1" applyAlignment="1">
      <alignment horizontal="center"/>
    </xf>
    <xf numFmtId="0" fontId="0" fillId="60" borderId="0" xfId="0" applyFont="1" applyFill="1" applyBorder="1" applyAlignment="1">
      <alignment horizontal="center"/>
    </xf>
    <xf numFmtId="0" fontId="26" fillId="10" borderId="29" xfId="0" applyFont="1" applyFill="1" applyBorder="1" applyAlignment="1">
      <alignment horizontal="center"/>
    </xf>
    <xf numFmtId="2" fontId="20" fillId="57" borderId="23" xfId="0" applyNumberFormat="1" applyFont="1" applyFill="1" applyBorder="1" applyAlignment="1">
      <alignment horizontal="center"/>
    </xf>
    <xf numFmtId="0" fontId="31" fillId="57" borderId="25" xfId="0" applyFont="1" applyFill="1" applyBorder="1" applyAlignment="1">
      <alignment horizontal="right"/>
    </xf>
    <xf numFmtId="0" fontId="32" fillId="57" borderId="25" xfId="0" applyFont="1" applyFill="1" applyBorder="1" applyAlignment="1">
      <alignment horizontal="right"/>
    </xf>
    <xf numFmtId="2" fontId="31" fillId="57" borderId="25" xfId="0" applyNumberFormat="1" applyFont="1" applyFill="1" applyBorder="1" applyAlignment="1">
      <alignment horizontal="right"/>
    </xf>
    <xf numFmtId="2" fontId="32" fillId="57" borderId="25" xfId="0" applyNumberFormat="1" applyFont="1" applyFill="1" applyBorder="1" applyAlignment="1">
      <alignment horizontal="right"/>
    </xf>
    <xf numFmtId="0" fontId="20" fillId="57" borderId="25" xfId="0" applyFont="1" applyFill="1" applyBorder="1" applyAlignment="1">
      <alignment horizontal="right"/>
    </xf>
    <xf numFmtId="2" fontId="20" fillId="57" borderId="25" xfId="0" applyNumberFormat="1" applyFont="1" applyFill="1" applyBorder="1" applyAlignment="1">
      <alignment horizontal="right"/>
    </xf>
    <xf numFmtId="2" fontId="18" fillId="57" borderId="25" xfId="0" applyNumberFormat="1" applyFont="1" applyFill="1" applyBorder="1" applyAlignment="1">
      <alignment horizontal="right"/>
    </xf>
    <xf numFmtId="2" fontId="0" fillId="57" borderId="25" xfId="0" applyNumberFormat="1" applyFill="1" applyBorder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9325"/>
          <c:w val="0.771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Elanikkonnale!$C$5:$C$6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Elanikkonnale!$B$7:$B$46</c:f>
              <c:strCache/>
            </c:strRef>
          </c:cat>
          <c:val>
            <c:numRef>
              <c:f>Elanikkonnale!$C$7:$C$46</c:f>
              <c:numCache/>
            </c:numRef>
          </c:val>
        </c:ser>
        <c:ser>
          <c:idx val="1"/>
          <c:order val="1"/>
          <c:tx>
            <c:strRef>
              <c:f>Elanikkonnale!$D$5:$D$6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Elanikkonnale!$B$7:$B$46</c:f>
              <c:strCache/>
            </c:strRef>
          </c:cat>
          <c:val>
            <c:numRef>
              <c:f>Elanikkonnale!$D$7:$D$46</c:f>
              <c:numCache/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75"/>
          <c:y val="0.46975"/>
          <c:w val="0.076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99"/>
          <c:w val="0.842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Ettevõtetele!$C$5:$C$6</c:f>
              <c:strCache>
                <c:ptCount val="1"/>
                <c:pt idx="0">
                  <c:v>VESI €/m3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Ettevõtetele!$B$7:$B$46</c:f>
              <c:strCache/>
            </c:strRef>
          </c:cat>
          <c:val>
            <c:numRef>
              <c:f>Ettevõtetele!$C$7:$C$46</c:f>
              <c:numCache/>
            </c:numRef>
          </c:val>
        </c:ser>
        <c:ser>
          <c:idx val="1"/>
          <c:order val="1"/>
          <c:tx>
            <c:strRef>
              <c:f>Ettevõtetele!$D$5:$D$6</c:f>
              <c:strCache>
                <c:ptCount val="1"/>
                <c:pt idx="0">
                  <c:v>KANAL. €/m3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Ettevõtetele!$B$7:$B$46</c:f>
              <c:strCache/>
            </c:strRef>
          </c:cat>
          <c:val>
            <c:numRef>
              <c:f>Ettevõtetele!$D$7:$D$46</c:f>
              <c:numCache/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2583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5"/>
          <c:y val="0.4665"/>
          <c:w val="0.0962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775"/>
          <c:w val="0.839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'1m3 tulu'!$C$3</c:f>
              <c:strCache>
                <c:ptCount val="1"/>
                <c:pt idx="0">
                  <c:v>Elanikk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tulu'!$B$4:$B$42</c:f>
              <c:strCache/>
            </c:strRef>
          </c:cat>
          <c:val>
            <c:numRef>
              <c:f>'1m3 tulu'!$C$4:$C$42</c:f>
              <c:numCache/>
            </c:numRef>
          </c:val>
        </c:ser>
        <c:ser>
          <c:idx val="1"/>
          <c:order val="1"/>
          <c:tx>
            <c:strRef>
              <c:f>'1m3 tulu'!$D$3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'1m3 tulu'!$B$4:$B$42</c:f>
              <c:strCache/>
            </c:strRef>
          </c:cat>
          <c:val>
            <c:numRef>
              <c:f>'1m3 tulu'!$D$4:$D$42</c:f>
              <c:numCache/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6125"/>
          <c:w val="0.09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515"/>
          <c:w val="0.857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Graafik!$B$5:$B$44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Graafik!$A$5:$A$44</c:f>
              <c:strCache/>
            </c:strRef>
          </c:cat>
          <c:val>
            <c:numRef>
              <c:f>Graafik!$C$5:$C$44</c:f>
              <c:numCache/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6375"/>
          <c:w val="0.079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0.368</cdr:y>
    </cdr:from>
    <cdr:to>
      <cdr:x>0.0525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924175"/>
          <a:ext cx="3810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0.1595</cdr:x>
      <cdr:y>0.00625</cdr:y>
    </cdr:from>
    <cdr:to>
      <cdr:x>0.812</cdr:x>
      <cdr:y>0.07575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05000" y="47625"/>
          <a:ext cx="7820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0.00825</cdr:y>
    </cdr:from>
    <cdr:to>
      <cdr:x>0.817</cdr:x>
      <cdr:y>0.074</cdr:y>
    </cdr:to>
    <cdr:sp>
      <cdr:nvSpPr>
        <cdr:cNvPr id="3" name="TextBox 3"/>
        <cdr:cNvSpPr txBox="1">
          <a:spLocks noChangeArrowheads="1"/>
        </cdr:cNvSpPr>
      </cdr:nvSpPr>
      <cdr:spPr>
        <a:xfrm>
          <a:off x="1295400" y="57150"/>
          <a:ext cx="8496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Veeteenuse hind elanikkonnale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abonenttasuga (käibemaksuga)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30.06.2012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152400</xdr:rowOff>
    </xdr:from>
    <xdr:to>
      <xdr:col>24</xdr:col>
      <xdr:colOff>419100</xdr:colOff>
      <xdr:row>50</xdr:row>
      <xdr:rowOff>152400</xdr:rowOff>
    </xdr:to>
    <xdr:graphicFrame>
      <xdr:nvGraphicFramePr>
        <xdr:cNvPr id="1" name="Diagramm 4"/>
        <xdr:cNvGraphicFramePr/>
      </xdr:nvGraphicFramePr>
      <xdr:xfrm>
        <a:off x="3667125" y="314325"/>
        <a:ext cx="1198245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0.82025</cdr:y>
    </cdr:from>
    <cdr:to>
      <cdr:x>0.03625</cdr:x>
      <cdr:y>0.925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28574" y="5895975"/>
          <a:ext cx="3810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-0.00175</cdr:x>
      <cdr:y>0.407</cdr:y>
    </cdr:from>
    <cdr:to>
      <cdr:x>0.0365</cdr:x>
      <cdr:y>0.53125</cdr:y>
    </cdr:to>
    <cdr:sp>
      <cdr:nvSpPr>
        <cdr:cNvPr id="2" name="TextBox 2"/>
        <cdr:cNvSpPr txBox="1">
          <a:spLocks noChangeArrowheads="1"/>
        </cdr:cNvSpPr>
      </cdr:nvSpPr>
      <cdr:spPr>
        <a:xfrm>
          <a:off x="-9524" y="2924175"/>
          <a:ext cx="3619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0.2215</cdr:x>
      <cdr:y>0.0365</cdr:y>
    </cdr:from>
    <cdr:to>
      <cdr:x>0.73675</cdr:x>
      <cdr:y>0.0915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095500" y="257175"/>
          <a:ext cx="48863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0.24325</cdr:x>
      <cdr:y>0.00825</cdr:y>
    </cdr:from>
    <cdr:to>
      <cdr:x>0.7625</cdr:x>
      <cdr:y>0.10025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57150"/>
          <a:ext cx="49244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Veeteenuste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hind ettevõttele abonenttasuga (käibemaksuga)  seisuga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30.06.2012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20</xdr:col>
      <xdr:colOff>342900</xdr:colOff>
      <xdr:row>46</xdr:row>
      <xdr:rowOff>104775</xdr:rowOff>
    </xdr:to>
    <xdr:graphicFrame>
      <xdr:nvGraphicFramePr>
        <xdr:cNvPr id="1" name="Diagramm 1"/>
        <xdr:cNvGraphicFramePr/>
      </xdr:nvGraphicFramePr>
      <xdr:xfrm>
        <a:off x="3619500" y="381000"/>
        <a:ext cx="94773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0.25875</cdr:y>
    </cdr:from>
    <cdr:to>
      <cdr:x>0.03025</cdr:x>
      <cdr:y>0.3775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1600200"/>
          <a:ext cx="3048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  <cdr:relSizeAnchor xmlns:cdr="http://schemas.openxmlformats.org/drawingml/2006/chartDrawing">
    <cdr:from>
      <cdr:x>0.22375</cdr:x>
      <cdr:y>0.03475</cdr:y>
    </cdr:from>
    <cdr:to>
      <cdr:x>0.70925</cdr:x>
      <cdr:y>0.07025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0" y="209550"/>
          <a:ext cx="415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1m3 veeteenuste müügist 2012  I /pa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</xdr:row>
      <xdr:rowOff>19050</xdr:rowOff>
    </xdr:from>
    <xdr:to>
      <xdr:col>18</xdr:col>
      <xdr:colOff>600075</xdr:colOff>
      <xdr:row>41</xdr:row>
      <xdr:rowOff>85725</xdr:rowOff>
    </xdr:to>
    <xdr:graphicFrame>
      <xdr:nvGraphicFramePr>
        <xdr:cNvPr id="1" name="Diagramm 2"/>
        <xdr:cNvGraphicFramePr/>
      </xdr:nvGraphicFramePr>
      <xdr:xfrm>
        <a:off x="3705225" y="504825"/>
        <a:ext cx="85534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0.0975</cdr:y>
    </cdr:from>
    <cdr:to>
      <cdr:x>0.299</cdr:x>
      <cdr:y>0.105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857500" y="6381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0.0025</cdr:y>
    </cdr:from>
    <cdr:to>
      <cdr:x>0.73825</cdr:x>
      <cdr:y>0.06575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24050" y="9525"/>
          <a:ext cx="5267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</cdr:x>
      <cdr:y>0.00425</cdr:y>
    </cdr:from>
    <cdr:to>
      <cdr:x>0.8535</cdr:x>
      <cdr:y>0.0885</cdr:y>
    </cdr:to>
    <cdr:sp>
      <cdr:nvSpPr>
        <cdr:cNvPr id="3" name="TextBox 3"/>
        <cdr:cNvSpPr txBox="1">
          <a:spLocks noChangeArrowheads="1"/>
        </cdr:cNvSpPr>
      </cdr:nvSpPr>
      <cdr:spPr>
        <a:xfrm>
          <a:off x="2085975" y="19050"/>
          <a:ext cx="6219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Veeteenuste hind  (vesi+kanal)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koos abonenttasuga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(käibemaksuga)  seisuga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30.06.2012
</a:t>
          </a:r>
        </a:p>
      </cdr:txBody>
    </cdr:sp>
  </cdr:relSizeAnchor>
  <cdr:relSizeAnchor xmlns:cdr="http://schemas.openxmlformats.org/drawingml/2006/chartDrawing">
    <cdr:from>
      <cdr:x>0.004</cdr:x>
      <cdr:y>0.29175</cdr:y>
    </cdr:from>
    <cdr:to>
      <cdr:x>0.031</cdr:x>
      <cdr:y>0.38375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38100" y="1933575"/>
          <a:ext cx="2667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0.32575</cdr:y>
    </cdr:from>
    <cdr:to>
      <cdr:x>0.03325</cdr:x>
      <cdr:y>0.437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2162175"/>
          <a:ext cx="3238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0.31125</cdr:y>
    </cdr:from>
    <cdr:to>
      <cdr:x>0.02975</cdr:x>
      <cdr:y>0.4295</cdr:y>
    </cdr:to>
    <cdr:sp>
      <cdr:nvSpPr>
        <cdr:cNvPr id="6" name="TextBox 6"/>
        <cdr:cNvSpPr txBox="1">
          <a:spLocks noChangeArrowheads="1"/>
        </cdr:cNvSpPr>
      </cdr:nvSpPr>
      <cdr:spPr>
        <a:xfrm>
          <a:off x="19050" y="2057400"/>
          <a:ext cx="2667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eur/m3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38100</xdr:rowOff>
    </xdr:from>
    <xdr:to>
      <xdr:col>19</xdr:col>
      <xdr:colOff>571500</xdr:colOff>
      <xdr:row>43</xdr:row>
      <xdr:rowOff>19050</xdr:rowOff>
    </xdr:to>
    <xdr:graphicFrame>
      <xdr:nvGraphicFramePr>
        <xdr:cNvPr id="1" name="Diagramm 3"/>
        <xdr:cNvGraphicFramePr/>
      </xdr:nvGraphicFramePr>
      <xdr:xfrm>
        <a:off x="3162300" y="371475"/>
        <a:ext cx="97440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8.421875" style="0" customWidth="1"/>
  </cols>
  <sheetData>
    <row r="2" ht="28.5" customHeight="1">
      <c r="A2" s="147" t="s">
        <v>169</v>
      </c>
    </row>
    <row r="3" ht="13.5" customHeight="1">
      <c r="A3" s="147"/>
    </row>
    <row r="4" ht="25.5">
      <c r="A4" s="148" t="s">
        <v>137</v>
      </c>
    </row>
    <row r="5" ht="12.75">
      <c r="A5" s="149"/>
    </row>
    <row r="6" ht="25.5">
      <c r="A6" s="148" t="s">
        <v>138</v>
      </c>
    </row>
    <row r="7" ht="12.75">
      <c r="A7" s="149"/>
    </row>
    <row r="8" ht="12.75">
      <c r="A8" s="151" t="s">
        <v>153</v>
      </c>
    </row>
    <row r="9" ht="12.75">
      <c r="A9" s="150" t="s">
        <v>143</v>
      </c>
    </row>
    <row r="10" ht="12.75">
      <c r="A10" s="149" t="s">
        <v>139</v>
      </c>
    </row>
    <row r="11" ht="12.75">
      <c r="A11" s="149" t="s">
        <v>140</v>
      </c>
    </row>
    <row r="12" ht="12.75">
      <c r="A12" s="149" t="s">
        <v>141</v>
      </c>
    </row>
    <row r="13" ht="12.75">
      <c r="A13" s="149" t="s">
        <v>142</v>
      </c>
    </row>
    <row r="14" ht="12.75">
      <c r="A14" s="149"/>
    </row>
    <row r="15" ht="12.75">
      <c r="A15" s="149"/>
    </row>
    <row r="16" ht="12.75">
      <c r="A16" s="151" t="s">
        <v>154</v>
      </c>
    </row>
    <row r="17" ht="12.75">
      <c r="A17" s="150" t="s">
        <v>145</v>
      </c>
    </row>
    <row r="18" ht="12.75">
      <c r="A18" s="149" t="s">
        <v>144</v>
      </c>
    </row>
    <row r="19" ht="12.75">
      <c r="A19" s="149" t="s">
        <v>146</v>
      </c>
    </row>
    <row r="20" ht="12.75">
      <c r="A20" s="149" t="s">
        <v>147</v>
      </c>
    </row>
    <row r="21" ht="12.75">
      <c r="A21" s="149" t="s">
        <v>148</v>
      </c>
    </row>
    <row r="22" ht="12.75">
      <c r="A22" s="149"/>
    </row>
    <row r="23" ht="12.75">
      <c r="A23" s="150" t="s">
        <v>136</v>
      </c>
    </row>
    <row r="24" ht="12.75">
      <c r="A24" s="150" t="s">
        <v>145</v>
      </c>
    </row>
    <row r="25" ht="12.75">
      <c r="A25" s="149" t="s">
        <v>152</v>
      </c>
    </row>
    <row r="26" ht="12.75">
      <c r="A26" s="149" t="s">
        <v>149</v>
      </c>
    </row>
    <row r="27" ht="12.75">
      <c r="A27" s="149" t="s">
        <v>150</v>
      </c>
    </row>
    <row r="28" ht="12.75">
      <c r="A28" s="149" t="s">
        <v>151</v>
      </c>
    </row>
    <row r="29" ht="12.75">
      <c r="A29" s="149"/>
    </row>
    <row r="30" ht="12.75">
      <c r="A30" s="1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130" zoomScaleNormal="190" zoomScaleSheetLayoutView="130" zoomScalePageLayoutView="0" workbookViewId="0" topLeftCell="A32">
      <pane xSplit="1" topLeftCell="D1" activePane="topRight" state="frozen"/>
      <selection pane="topLeft" activeCell="A1" sqref="A1"/>
      <selection pane="topRight" activeCell="A27" sqref="A27:IV27"/>
    </sheetView>
  </sheetViews>
  <sheetFormatPr defaultColWidth="9.140625" defaultRowHeight="12.75"/>
  <cols>
    <col min="1" max="1" width="20.421875" style="28" customWidth="1"/>
    <col min="2" max="2" width="12.140625" style="28" customWidth="1"/>
    <col min="3" max="3" width="9.28125" style="28" customWidth="1"/>
    <col min="4" max="4" width="9.57421875" style="28" customWidth="1"/>
    <col min="5" max="5" width="10.00390625" style="28" bestFit="1" customWidth="1"/>
    <col min="6" max="6" width="10.00390625" style="28" customWidth="1"/>
    <col min="7" max="7" width="8.421875" style="28" customWidth="1"/>
    <col min="8" max="8" width="8.8515625" style="28" customWidth="1"/>
    <col min="9" max="10" width="9.140625" style="28" customWidth="1"/>
    <col min="11" max="11" width="8.7109375" style="28" customWidth="1"/>
    <col min="12" max="12" width="9.00390625" style="28" customWidth="1"/>
    <col min="13" max="13" width="9.8515625" style="28" customWidth="1"/>
    <col min="14" max="14" width="8.7109375" style="28" customWidth="1"/>
    <col min="15" max="16" width="11.8515625" style="28" customWidth="1"/>
    <col min="17" max="16384" width="9.140625" style="28" customWidth="1"/>
  </cols>
  <sheetData>
    <row r="1" spans="1:18" ht="15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6"/>
      <c r="L1" s="6"/>
      <c r="M1" s="6" t="s">
        <v>1</v>
      </c>
      <c r="N1" s="6"/>
      <c r="R1" s="44"/>
    </row>
    <row r="2" spans="1:14" ht="12.75">
      <c r="A2" s="68"/>
      <c r="B2" s="69"/>
      <c r="C2" s="70" t="s">
        <v>2</v>
      </c>
      <c r="D2" s="70" t="s">
        <v>2</v>
      </c>
      <c r="E2" s="70" t="s">
        <v>3</v>
      </c>
      <c r="F2" s="70" t="s">
        <v>3</v>
      </c>
      <c r="G2" s="71" t="s">
        <v>4</v>
      </c>
      <c r="H2" s="71" t="s">
        <v>4</v>
      </c>
      <c r="I2" s="72" t="s">
        <v>5</v>
      </c>
      <c r="J2" s="72" t="s">
        <v>5</v>
      </c>
      <c r="K2" s="70" t="s">
        <v>6</v>
      </c>
      <c r="L2" s="70" t="s">
        <v>6</v>
      </c>
      <c r="M2" s="70" t="s">
        <v>6</v>
      </c>
      <c r="N2" s="73" t="s">
        <v>6</v>
      </c>
    </row>
    <row r="3" spans="1:14" ht="12.75">
      <c r="A3" s="74"/>
      <c r="B3" s="75" t="s">
        <v>7</v>
      </c>
      <c r="C3" s="76"/>
      <c r="D3" s="76"/>
      <c r="E3" s="76" t="s">
        <v>8</v>
      </c>
      <c r="F3" s="76" t="s">
        <v>8</v>
      </c>
      <c r="G3" s="76" t="s">
        <v>9</v>
      </c>
      <c r="H3" s="76" t="s">
        <v>9</v>
      </c>
      <c r="I3" s="76" t="s">
        <v>9</v>
      </c>
      <c r="J3" s="76" t="s">
        <v>9</v>
      </c>
      <c r="K3" s="76" t="s">
        <v>10</v>
      </c>
      <c r="L3" s="76" t="s">
        <v>10</v>
      </c>
      <c r="M3" s="76" t="s">
        <v>10</v>
      </c>
      <c r="N3" s="77" t="s">
        <v>10</v>
      </c>
    </row>
    <row r="4" spans="1:14" ht="12.75">
      <c r="A4" s="78" t="s">
        <v>11</v>
      </c>
      <c r="B4" s="75" t="s">
        <v>12</v>
      </c>
      <c r="C4" s="76"/>
      <c r="D4" s="76"/>
      <c r="E4" s="76"/>
      <c r="F4" s="76"/>
      <c r="G4" s="76" t="s">
        <v>13</v>
      </c>
      <c r="H4" s="76" t="s">
        <v>13</v>
      </c>
      <c r="I4" s="76" t="s">
        <v>13</v>
      </c>
      <c r="J4" s="76" t="s">
        <v>13</v>
      </c>
      <c r="K4" s="76" t="s">
        <v>14</v>
      </c>
      <c r="L4" s="76" t="s">
        <v>14</v>
      </c>
      <c r="M4" s="76" t="s">
        <v>14</v>
      </c>
      <c r="N4" s="77" t="s">
        <v>14</v>
      </c>
    </row>
    <row r="5" spans="1:14" ht="12.75">
      <c r="A5" s="74"/>
      <c r="B5" s="79"/>
      <c r="C5" s="76" t="s">
        <v>15</v>
      </c>
      <c r="D5" s="76" t="s">
        <v>15</v>
      </c>
      <c r="E5" s="76" t="s">
        <v>15</v>
      </c>
      <c r="F5" s="76" t="s">
        <v>15</v>
      </c>
      <c r="G5" s="76" t="s">
        <v>16</v>
      </c>
      <c r="H5" s="76" t="s">
        <v>16</v>
      </c>
      <c r="I5" s="76" t="s">
        <v>16</v>
      </c>
      <c r="J5" s="76" t="s">
        <v>16</v>
      </c>
      <c r="K5" s="76" t="s">
        <v>17</v>
      </c>
      <c r="L5" s="76" t="s">
        <v>18</v>
      </c>
      <c r="M5" s="76" t="s">
        <v>19</v>
      </c>
      <c r="N5" s="77" t="s">
        <v>18</v>
      </c>
    </row>
    <row r="6" spans="1:14" ht="12.75">
      <c r="A6" s="80"/>
      <c r="B6" s="81"/>
      <c r="C6" s="82"/>
      <c r="D6" s="82"/>
      <c r="E6" s="82"/>
      <c r="F6" s="82"/>
      <c r="G6" s="82" t="s">
        <v>122</v>
      </c>
      <c r="H6" s="82" t="s">
        <v>122</v>
      </c>
      <c r="I6" s="82" t="s">
        <v>122</v>
      </c>
      <c r="J6" s="82" t="s">
        <v>122</v>
      </c>
      <c r="K6" s="83" t="s">
        <v>20</v>
      </c>
      <c r="L6" s="83" t="s">
        <v>20</v>
      </c>
      <c r="M6" s="83" t="s">
        <v>20</v>
      </c>
      <c r="N6" s="84" t="s">
        <v>20</v>
      </c>
    </row>
    <row r="7" spans="1:14" ht="12.75">
      <c r="A7" s="85"/>
      <c r="B7" s="86"/>
      <c r="C7" s="87" t="s">
        <v>21</v>
      </c>
      <c r="D7" s="87" t="s">
        <v>22</v>
      </c>
      <c r="E7" s="87" t="s">
        <v>21</v>
      </c>
      <c r="F7" s="87" t="s">
        <v>22</v>
      </c>
      <c r="G7" s="87" t="s">
        <v>21</v>
      </c>
      <c r="H7" s="86" t="s">
        <v>22</v>
      </c>
      <c r="I7" s="86" t="s">
        <v>21</v>
      </c>
      <c r="J7" s="88" t="s">
        <v>22</v>
      </c>
      <c r="K7" s="86" t="s">
        <v>21</v>
      </c>
      <c r="L7" s="86" t="s">
        <v>21</v>
      </c>
      <c r="M7" s="89" t="s">
        <v>22</v>
      </c>
      <c r="N7" s="90" t="s">
        <v>22</v>
      </c>
    </row>
    <row r="8" spans="1:14" s="6" customFormat="1" ht="12.75">
      <c r="A8" s="23" t="s">
        <v>155</v>
      </c>
      <c r="B8" s="152" t="s">
        <v>116</v>
      </c>
      <c r="C8" s="145">
        <v>183.277</v>
      </c>
      <c r="D8" s="145">
        <v>58.103</v>
      </c>
      <c r="E8" s="145">
        <v>175.475</v>
      </c>
      <c r="F8" s="145">
        <v>54.792</v>
      </c>
      <c r="G8" s="145">
        <v>30.871</v>
      </c>
      <c r="H8" s="145">
        <v>18.205</v>
      </c>
      <c r="I8" s="145">
        <v>30.871</v>
      </c>
      <c r="J8" s="145">
        <v>18.205</v>
      </c>
      <c r="K8" s="145">
        <v>0</v>
      </c>
      <c r="L8" s="145">
        <v>0</v>
      </c>
      <c r="M8" s="145">
        <v>0</v>
      </c>
      <c r="N8" s="145">
        <v>0</v>
      </c>
    </row>
    <row r="9" spans="1:14" s="6" customFormat="1" ht="12.75">
      <c r="A9" s="12" t="s">
        <v>25</v>
      </c>
      <c r="B9" s="138"/>
      <c r="C9" s="7">
        <v>188.169</v>
      </c>
      <c r="D9" s="7">
        <v>110.15</v>
      </c>
      <c r="E9" s="7">
        <v>177.927</v>
      </c>
      <c r="F9" s="7">
        <v>96.427</v>
      </c>
      <c r="G9" s="145">
        <v>156.947</v>
      </c>
      <c r="H9" s="145">
        <v>87.745</v>
      </c>
      <c r="I9" s="145">
        <v>186.606</v>
      </c>
      <c r="J9" s="145">
        <v>123.695</v>
      </c>
      <c r="K9" s="7">
        <v>0</v>
      </c>
      <c r="L9" s="7">
        <v>0</v>
      </c>
      <c r="M9" s="7">
        <v>0</v>
      </c>
      <c r="N9" s="7">
        <v>0</v>
      </c>
    </row>
    <row r="10" spans="1:14" s="6" customFormat="1" ht="12.75">
      <c r="A10" s="12" t="s">
        <v>111</v>
      </c>
      <c r="B10" s="153" t="s">
        <v>161</v>
      </c>
      <c r="C10" s="7">
        <v>44.2</v>
      </c>
      <c r="D10" s="7">
        <v>0</v>
      </c>
      <c r="E10" s="7">
        <v>43.3</v>
      </c>
      <c r="F10" s="7">
        <v>0</v>
      </c>
      <c r="G10" s="145">
        <v>7.5</v>
      </c>
      <c r="H10" s="145">
        <v>0</v>
      </c>
      <c r="I10" s="145">
        <v>5.6</v>
      </c>
      <c r="J10" s="145">
        <v>0</v>
      </c>
      <c r="K10" s="199">
        <f>(G10/C10)*1.2</f>
        <v>0.20361990950226241</v>
      </c>
      <c r="L10" s="199">
        <f>(I10/E10)*1.2</f>
        <v>0.15519630484988453</v>
      </c>
      <c r="M10" s="7">
        <v>0</v>
      </c>
      <c r="N10" s="7">
        <v>0</v>
      </c>
    </row>
    <row r="11" spans="1:14" s="6" customFormat="1" ht="12.75">
      <c r="A11" s="12" t="s">
        <v>156</v>
      </c>
      <c r="B11" s="138" t="s">
        <v>23</v>
      </c>
      <c r="C11" s="7">
        <v>196.353</v>
      </c>
      <c r="D11" s="7">
        <v>84.457</v>
      </c>
      <c r="E11" s="7">
        <v>188.448</v>
      </c>
      <c r="F11" s="7">
        <v>78.367</v>
      </c>
      <c r="G11" s="145">
        <v>0</v>
      </c>
      <c r="H11" s="145">
        <v>0</v>
      </c>
      <c r="I11" s="145">
        <v>0</v>
      </c>
      <c r="J11" s="145">
        <v>0</v>
      </c>
      <c r="K11" s="7">
        <v>0</v>
      </c>
      <c r="L11" s="7">
        <v>0</v>
      </c>
      <c r="M11" s="7">
        <v>0</v>
      </c>
      <c r="N11" s="7">
        <v>0</v>
      </c>
    </row>
    <row r="12" spans="1:14" s="6" customFormat="1" ht="12.75">
      <c r="A12" s="12" t="s">
        <v>95</v>
      </c>
      <c r="B12" s="153" t="s">
        <v>24</v>
      </c>
      <c r="C12" s="7">
        <v>22.405</v>
      </c>
      <c r="D12" s="7">
        <v>7.929</v>
      </c>
      <c r="E12" s="7">
        <v>22.165</v>
      </c>
      <c r="F12" s="7">
        <v>6.902</v>
      </c>
      <c r="G12" s="145">
        <v>0</v>
      </c>
      <c r="H12" s="145">
        <v>0</v>
      </c>
      <c r="I12" s="145">
        <v>0</v>
      </c>
      <c r="J12" s="145">
        <v>0</v>
      </c>
      <c r="K12" s="7">
        <v>0</v>
      </c>
      <c r="L12" s="7">
        <f>(I12/E12)*1.2</f>
        <v>0</v>
      </c>
      <c r="M12" s="145">
        <v>0</v>
      </c>
      <c r="N12" s="145">
        <v>0</v>
      </c>
    </row>
    <row r="13" spans="1:14" s="6" customFormat="1" ht="12.75">
      <c r="A13" s="12" t="s">
        <v>27</v>
      </c>
      <c r="B13" s="157" t="s">
        <v>28</v>
      </c>
      <c r="C13" s="7">
        <v>12.444</v>
      </c>
      <c r="D13" s="7">
        <v>2.138</v>
      </c>
      <c r="E13" s="7">
        <v>14.706</v>
      </c>
      <c r="F13" s="7">
        <v>4.528</v>
      </c>
      <c r="G13" s="145">
        <v>0</v>
      </c>
      <c r="H13" s="145">
        <v>0</v>
      </c>
      <c r="I13" s="145">
        <v>0</v>
      </c>
      <c r="J13" s="145">
        <v>0</v>
      </c>
      <c r="K13" s="7">
        <f aca="true" t="shared" si="0" ref="K13:K46">(G13/C13)*1.2</f>
        <v>0</v>
      </c>
      <c r="L13" s="7">
        <f aca="true" t="shared" si="1" ref="L13:L46">(I13/E13)*1.2</f>
        <v>0</v>
      </c>
      <c r="M13" s="7">
        <f aca="true" t="shared" si="2" ref="M13:M46">(H13/D13)*1.2</f>
        <v>0</v>
      </c>
      <c r="N13" s="7">
        <f aca="true" t="shared" si="3" ref="N13:N46">(J13/F13)*1.2</f>
        <v>0</v>
      </c>
    </row>
    <row r="14" spans="1:14" s="6" customFormat="1" ht="12.75">
      <c r="A14" s="12" t="s">
        <v>29</v>
      </c>
      <c r="B14" s="153" t="s">
        <v>30</v>
      </c>
      <c r="C14" s="7">
        <v>937.736</v>
      </c>
      <c r="D14" s="7">
        <v>146.998</v>
      </c>
      <c r="E14" s="7">
        <v>720.336</v>
      </c>
      <c r="F14" s="7">
        <v>136.886</v>
      </c>
      <c r="G14" s="145">
        <v>10.349</v>
      </c>
      <c r="H14" s="145">
        <v>14.223</v>
      </c>
      <c r="I14" s="145">
        <v>0</v>
      </c>
      <c r="J14" s="145">
        <v>0</v>
      </c>
      <c r="K14" s="199">
        <f t="shared" si="0"/>
        <v>0.013243386198247694</v>
      </c>
      <c r="L14" s="7">
        <f t="shared" si="1"/>
        <v>0</v>
      </c>
      <c r="M14" s="199">
        <f t="shared" si="2"/>
        <v>0.11610770214560744</v>
      </c>
      <c r="N14" s="7">
        <f t="shared" si="3"/>
        <v>0</v>
      </c>
    </row>
    <row r="15" spans="1:14" s="6" customFormat="1" ht="12.75">
      <c r="A15" s="12" t="s">
        <v>26</v>
      </c>
      <c r="B15" s="153" t="s">
        <v>162</v>
      </c>
      <c r="C15" s="7">
        <v>61.44</v>
      </c>
      <c r="D15" s="7">
        <v>19.65</v>
      </c>
      <c r="E15" s="7">
        <v>60.809</v>
      </c>
      <c r="F15" s="7">
        <v>23.207</v>
      </c>
      <c r="G15" s="145">
        <v>0</v>
      </c>
      <c r="H15" s="145">
        <v>0</v>
      </c>
      <c r="I15" s="145">
        <v>0</v>
      </c>
      <c r="J15" s="145">
        <v>0</v>
      </c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f t="shared" si="3"/>
        <v>0</v>
      </c>
    </row>
    <row r="16" spans="1:14" s="6" customFormat="1" ht="12.75">
      <c r="A16" s="12" t="s">
        <v>31</v>
      </c>
      <c r="B16" s="153" t="s">
        <v>32</v>
      </c>
      <c r="C16" s="7">
        <v>37.259</v>
      </c>
      <c r="D16" s="7">
        <v>13.249</v>
      </c>
      <c r="E16" s="7">
        <v>36.37</v>
      </c>
      <c r="F16" s="7">
        <v>8.752</v>
      </c>
      <c r="G16" s="145">
        <v>0</v>
      </c>
      <c r="H16" s="145">
        <v>0</v>
      </c>
      <c r="I16" s="145">
        <v>0</v>
      </c>
      <c r="J16" s="145">
        <v>0</v>
      </c>
      <c r="K16" s="7">
        <f t="shared" si="0"/>
        <v>0</v>
      </c>
      <c r="L16" s="7">
        <f t="shared" si="1"/>
        <v>0</v>
      </c>
      <c r="M16" s="7">
        <f t="shared" si="2"/>
        <v>0</v>
      </c>
      <c r="N16" s="7">
        <f t="shared" si="3"/>
        <v>0</v>
      </c>
    </row>
    <row r="17" spans="1:14" s="6" customFormat="1" ht="12.75">
      <c r="A17" s="12" t="s">
        <v>41</v>
      </c>
      <c r="B17" s="138" t="s">
        <v>163</v>
      </c>
      <c r="C17" s="7">
        <v>43.441</v>
      </c>
      <c r="D17" s="7">
        <v>20.245</v>
      </c>
      <c r="E17" s="7">
        <v>41.95</v>
      </c>
      <c r="F17" s="7">
        <v>15.701</v>
      </c>
      <c r="G17" s="145">
        <v>2.087</v>
      </c>
      <c r="H17" s="145">
        <v>0.698</v>
      </c>
      <c r="I17" s="145">
        <v>2.087</v>
      </c>
      <c r="J17" s="145">
        <v>0.698</v>
      </c>
      <c r="K17" s="199">
        <f t="shared" si="0"/>
        <v>0.05765060656983034</v>
      </c>
      <c r="L17" s="199">
        <f t="shared" si="1"/>
        <v>0.05969964243146603</v>
      </c>
      <c r="M17" s="199">
        <f t="shared" si="2"/>
        <v>0.04137317856260804</v>
      </c>
      <c r="N17" s="199">
        <f t="shared" si="3"/>
        <v>0.05334692057830711</v>
      </c>
    </row>
    <row r="18" spans="1:14" s="6" customFormat="1" ht="12.75">
      <c r="A18" s="12" t="s">
        <v>33</v>
      </c>
      <c r="B18" s="152" t="s">
        <v>164</v>
      </c>
      <c r="C18" s="7">
        <v>138.731</v>
      </c>
      <c r="D18" s="7">
        <v>36.241</v>
      </c>
      <c r="E18" s="7">
        <v>135.83</v>
      </c>
      <c r="F18" s="7">
        <v>59.185</v>
      </c>
      <c r="G18" s="145">
        <v>15.76</v>
      </c>
      <c r="H18" s="145">
        <v>2.918</v>
      </c>
      <c r="I18" s="145">
        <v>15.586</v>
      </c>
      <c r="J18" s="145">
        <v>4.031</v>
      </c>
      <c r="K18" s="199">
        <f>(G18/C18)*1.2</f>
        <v>0.13632137013356785</v>
      </c>
      <c r="L18" s="199">
        <f>(I18/E18)*1.2</f>
        <v>0.13769564897298092</v>
      </c>
      <c r="M18" s="199">
        <f>(H18/D18)*1.2</f>
        <v>0.09661985044562788</v>
      </c>
      <c r="N18" s="199">
        <f>(J18/F18)*1.2</f>
        <v>0.0817301681169215</v>
      </c>
    </row>
    <row r="19" spans="1:14" s="6" customFormat="1" ht="12.75">
      <c r="A19" s="12" t="s">
        <v>113</v>
      </c>
      <c r="B19" s="152" t="s">
        <v>114</v>
      </c>
      <c r="C19" s="7">
        <v>46.072</v>
      </c>
      <c r="D19" s="7">
        <v>6.271</v>
      </c>
      <c r="E19" s="7">
        <v>44.293</v>
      </c>
      <c r="F19" s="7">
        <v>4.115</v>
      </c>
      <c r="G19" s="145">
        <v>6.613</v>
      </c>
      <c r="H19" s="145">
        <v>0.379</v>
      </c>
      <c r="I19" s="145">
        <v>0</v>
      </c>
      <c r="J19" s="145">
        <v>0</v>
      </c>
      <c r="K19" s="199">
        <f t="shared" si="0"/>
        <v>0.1722434450425421</v>
      </c>
      <c r="L19" s="7">
        <f t="shared" si="1"/>
        <v>0</v>
      </c>
      <c r="M19" s="199">
        <f t="shared" si="2"/>
        <v>0.07252431829054377</v>
      </c>
      <c r="N19" s="7">
        <f t="shared" si="3"/>
        <v>0</v>
      </c>
    </row>
    <row r="20" spans="1:14" s="6" customFormat="1" ht="12.75">
      <c r="A20" s="12" t="s">
        <v>34</v>
      </c>
      <c r="B20" s="153" t="s">
        <v>88</v>
      </c>
      <c r="C20" s="7">
        <v>83.559</v>
      </c>
      <c r="D20" s="7">
        <v>34.694</v>
      </c>
      <c r="E20" s="7">
        <v>65.581</v>
      </c>
      <c r="F20" s="7">
        <v>14.608</v>
      </c>
      <c r="G20" s="145">
        <v>5.626</v>
      </c>
      <c r="H20" s="145">
        <v>1.006</v>
      </c>
      <c r="I20" s="145">
        <v>2.036</v>
      </c>
      <c r="J20" s="145">
        <v>0.92</v>
      </c>
      <c r="K20" s="199">
        <f t="shared" si="0"/>
        <v>0.08079560550030516</v>
      </c>
      <c r="L20" s="199">
        <f t="shared" si="1"/>
        <v>0.037254692670133115</v>
      </c>
      <c r="M20" s="199">
        <f t="shared" si="2"/>
        <v>0.03479564189773447</v>
      </c>
      <c r="N20" s="199">
        <f t="shared" si="3"/>
        <v>0.0755750273822563</v>
      </c>
    </row>
    <row r="21" spans="1:14" s="6" customFormat="1" ht="12.75">
      <c r="A21" s="12" t="s">
        <v>35</v>
      </c>
      <c r="B21" s="153" t="s">
        <v>36</v>
      </c>
      <c r="C21" s="7">
        <v>41.521</v>
      </c>
      <c r="D21" s="7">
        <v>27.252</v>
      </c>
      <c r="E21" s="7">
        <v>29.88</v>
      </c>
      <c r="F21" s="7">
        <v>27.294</v>
      </c>
      <c r="G21" s="145">
        <v>0</v>
      </c>
      <c r="H21" s="145">
        <v>0</v>
      </c>
      <c r="I21" s="145">
        <v>0</v>
      </c>
      <c r="J21" s="145">
        <v>0</v>
      </c>
      <c r="K21" s="7">
        <f t="shared" si="0"/>
        <v>0</v>
      </c>
      <c r="L21" s="7">
        <f t="shared" si="1"/>
        <v>0</v>
      </c>
      <c r="M21" s="7">
        <f t="shared" si="2"/>
        <v>0</v>
      </c>
      <c r="N21" s="7">
        <f t="shared" si="3"/>
        <v>0</v>
      </c>
    </row>
    <row r="22" spans="1:14" s="6" customFormat="1" ht="12.75">
      <c r="A22" s="12" t="s">
        <v>37</v>
      </c>
      <c r="B22" s="138" t="s">
        <v>38</v>
      </c>
      <c r="C22" s="7">
        <v>10.665</v>
      </c>
      <c r="D22" s="7">
        <v>49.959</v>
      </c>
      <c r="E22" s="7">
        <v>8.848</v>
      </c>
      <c r="F22" s="7">
        <v>48.344</v>
      </c>
      <c r="G22" s="145">
        <v>1.078</v>
      </c>
      <c r="H22" s="145">
        <v>5.281</v>
      </c>
      <c r="I22" s="145">
        <v>1.355</v>
      </c>
      <c r="J22" s="145">
        <v>7.273</v>
      </c>
      <c r="K22" s="199">
        <f>(G22/C22)*1.2</f>
        <v>0.12129395218002814</v>
      </c>
      <c r="L22" s="199">
        <f>(I22/E22)*1.2</f>
        <v>0.18377034358047015</v>
      </c>
      <c r="M22" s="199">
        <f>(H22/D22)*1.2</f>
        <v>0.1268480153726055</v>
      </c>
      <c r="N22" s="199">
        <f>(J22/F22)*1.2</f>
        <v>0.18053119311600196</v>
      </c>
    </row>
    <row r="23" spans="1:14" s="6" customFormat="1" ht="12.75">
      <c r="A23" s="12" t="s">
        <v>157</v>
      </c>
      <c r="B23" s="152" t="s">
        <v>115</v>
      </c>
      <c r="C23" s="7">
        <v>0</v>
      </c>
      <c r="D23" s="7">
        <v>0</v>
      </c>
      <c r="E23" s="7">
        <v>0</v>
      </c>
      <c r="F23" s="7">
        <v>0</v>
      </c>
      <c r="G23" s="145">
        <v>0</v>
      </c>
      <c r="H23" s="145">
        <v>0</v>
      </c>
      <c r="I23" s="145">
        <v>0</v>
      </c>
      <c r="J23" s="145">
        <v>0</v>
      </c>
      <c r="K23" s="7" t="e">
        <f t="shared" si="0"/>
        <v>#DIV/0!</v>
      </c>
      <c r="L23" s="7" t="e">
        <f t="shared" si="1"/>
        <v>#DIV/0!</v>
      </c>
      <c r="M23" s="7" t="e">
        <f t="shared" si="2"/>
        <v>#DIV/0!</v>
      </c>
      <c r="N23" s="7" t="e">
        <f t="shared" si="3"/>
        <v>#DIV/0!</v>
      </c>
    </row>
    <row r="24" spans="1:14" s="6" customFormat="1" ht="12.75">
      <c r="A24" s="23" t="s">
        <v>39</v>
      </c>
      <c r="B24" s="153" t="s">
        <v>40</v>
      </c>
      <c r="C24" s="7">
        <v>206.175</v>
      </c>
      <c r="D24" s="7">
        <v>141.108</v>
      </c>
      <c r="E24" s="7">
        <v>206.349</v>
      </c>
      <c r="F24" s="7">
        <v>190.027</v>
      </c>
      <c r="G24" s="145">
        <v>11.663</v>
      </c>
      <c r="H24" s="145">
        <v>4.605</v>
      </c>
      <c r="I24" s="145">
        <v>11.519</v>
      </c>
      <c r="J24" s="145">
        <v>4.488</v>
      </c>
      <c r="K24" s="199">
        <f t="shared" si="0"/>
        <v>0.06788213895962168</v>
      </c>
      <c r="L24" s="199">
        <f t="shared" si="1"/>
        <v>0.06698748237209776</v>
      </c>
      <c r="M24" s="199">
        <f t="shared" si="2"/>
        <v>0.03916149332426227</v>
      </c>
      <c r="N24" s="199">
        <f t="shared" si="3"/>
        <v>0.02834123571913465</v>
      </c>
    </row>
    <row r="25" spans="1:14" s="6" customFormat="1" ht="12.75">
      <c r="A25" s="12" t="s">
        <v>42</v>
      </c>
      <c r="B25" s="153" t="s">
        <v>94</v>
      </c>
      <c r="C25" s="7">
        <v>26.172</v>
      </c>
      <c r="D25" s="7">
        <v>9.064</v>
      </c>
      <c r="E25" s="7">
        <v>23.32</v>
      </c>
      <c r="F25" s="7">
        <v>2.619</v>
      </c>
      <c r="G25" s="145">
        <v>0</v>
      </c>
      <c r="H25" s="145">
        <v>0</v>
      </c>
      <c r="I25" s="145">
        <v>0</v>
      </c>
      <c r="J25" s="145">
        <v>0</v>
      </c>
      <c r="K25" s="7">
        <f t="shared" si="0"/>
        <v>0</v>
      </c>
      <c r="L25" s="7">
        <f t="shared" si="1"/>
        <v>0</v>
      </c>
      <c r="M25" s="7">
        <f t="shared" si="2"/>
        <v>0</v>
      </c>
      <c r="N25" s="7">
        <f t="shared" si="3"/>
        <v>0</v>
      </c>
    </row>
    <row r="26" spans="1:14" s="6" customFormat="1" ht="12.75">
      <c r="A26" s="12" t="s">
        <v>43</v>
      </c>
      <c r="B26" s="153"/>
      <c r="C26" s="7">
        <v>92.451</v>
      </c>
      <c r="D26" s="7">
        <v>24.695</v>
      </c>
      <c r="E26" s="7">
        <v>81.056</v>
      </c>
      <c r="F26" s="7">
        <v>46.926</v>
      </c>
      <c r="G26" s="145">
        <v>0</v>
      </c>
      <c r="H26" s="145">
        <v>0</v>
      </c>
      <c r="I26" s="145">
        <v>0</v>
      </c>
      <c r="J26" s="145">
        <v>0</v>
      </c>
      <c r="K26" s="7">
        <f t="shared" si="0"/>
        <v>0</v>
      </c>
      <c r="L26" s="7">
        <f t="shared" si="1"/>
        <v>0</v>
      </c>
      <c r="M26" s="7">
        <f t="shared" si="2"/>
        <v>0</v>
      </c>
      <c r="N26" s="7">
        <f t="shared" si="3"/>
        <v>0</v>
      </c>
    </row>
    <row r="27" spans="1:14" s="6" customFormat="1" ht="12.75">
      <c r="A27" s="12" t="s">
        <v>45</v>
      </c>
      <c r="B27" s="153" t="s">
        <v>46</v>
      </c>
      <c r="C27" s="7">
        <v>138.038</v>
      </c>
      <c r="D27" s="7">
        <v>71.158</v>
      </c>
      <c r="E27" s="7">
        <v>134.188</v>
      </c>
      <c r="F27" s="7">
        <v>74.371</v>
      </c>
      <c r="G27" s="145">
        <v>14.187</v>
      </c>
      <c r="H27" s="145">
        <v>11.745</v>
      </c>
      <c r="I27" s="145">
        <v>13.728</v>
      </c>
      <c r="J27" s="145">
        <v>9.516</v>
      </c>
      <c r="K27" s="199">
        <f t="shared" si="0"/>
        <v>0.12333125661049854</v>
      </c>
      <c r="L27" s="199">
        <f t="shared" si="1"/>
        <v>0.12276507586371359</v>
      </c>
      <c r="M27" s="199">
        <f t="shared" si="2"/>
        <v>0.19806627504988897</v>
      </c>
      <c r="N27" s="199">
        <f t="shared" si="3"/>
        <v>0.15354371999838648</v>
      </c>
    </row>
    <row r="28" spans="1:14" s="6" customFormat="1" ht="12.75">
      <c r="A28" s="12" t="s">
        <v>89</v>
      </c>
      <c r="B28" s="153" t="s">
        <v>47</v>
      </c>
      <c r="C28" s="7">
        <v>66.663</v>
      </c>
      <c r="D28" s="7">
        <v>33.911</v>
      </c>
      <c r="E28" s="7">
        <v>64.142</v>
      </c>
      <c r="F28" s="7">
        <v>23.557</v>
      </c>
      <c r="G28" s="145">
        <v>0</v>
      </c>
      <c r="H28" s="145">
        <v>0</v>
      </c>
      <c r="I28" s="145">
        <v>0</v>
      </c>
      <c r="J28" s="145">
        <v>0</v>
      </c>
      <c r="K28" s="7">
        <f t="shared" si="0"/>
        <v>0</v>
      </c>
      <c r="L28" s="7">
        <f t="shared" si="1"/>
        <v>0</v>
      </c>
      <c r="M28" s="7">
        <f t="shared" si="2"/>
        <v>0</v>
      </c>
      <c r="N28" s="7">
        <f t="shared" si="3"/>
        <v>0</v>
      </c>
    </row>
    <row r="29" spans="1:14" s="6" customFormat="1" ht="12.75">
      <c r="A29" s="12" t="s">
        <v>49</v>
      </c>
      <c r="B29" s="153" t="s">
        <v>132</v>
      </c>
      <c r="C29" s="7">
        <v>595.222</v>
      </c>
      <c r="D29" s="7">
        <v>472.271</v>
      </c>
      <c r="E29" s="7">
        <v>584.109</v>
      </c>
      <c r="F29" s="7">
        <v>540.323</v>
      </c>
      <c r="G29" s="145">
        <v>0</v>
      </c>
      <c r="H29" s="145">
        <v>0</v>
      </c>
      <c r="I29" s="145">
        <v>0</v>
      </c>
      <c r="J29" s="145">
        <v>0</v>
      </c>
      <c r="K29" s="7">
        <f t="shared" si="0"/>
        <v>0</v>
      </c>
      <c r="L29" s="7">
        <f t="shared" si="1"/>
        <v>0</v>
      </c>
      <c r="M29" s="7">
        <f t="shared" si="2"/>
        <v>0</v>
      </c>
      <c r="N29" s="7">
        <f t="shared" si="3"/>
        <v>0</v>
      </c>
    </row>
    <row r="30" spans="1:14" s="6" customFormat="1" ht="12.75">
      <c r="A30" s="12" t="s">
        <v>44</v>
      </c>
      <c r="B30" s="153" t="s">
        <v>165</v>
      </c>
      <c r="C30" s="7">
        <v>35.547</v>
      </c>
      <c r="D30" s="7">
        <v>12.03</v>
      </c>
      <c r="E30" s="7">
        <v>42.034</v>
      </c>
      <c r="F30" s="7">
        <v>108.889</v>
      </c>
      <c r="G30" s="145">
        <v>0</v>
      </c>
      <c r="H30" s="145">
        <v>0</v>
      </c>
      <c r="I30" s="145">
        <v>0</v>
      </c>
      <c r="J30" s="145">
        <v>0</v>
      </c>
      <c r="K30" s="7">
        <f t="shared" si="0"/>
        <v>0</v>
      </c>
      <c r="L30" s="7">
        <f t="shared" si="1"/>
        <v>0</v>
      </c>
      <c r="M30" s="7">
        <f t="shared" si="2"/>
        <v>0</v>
      </c>
      <c r="N30" s="7">
        <f t="shared" si="3"/>
        <v>0</v>
      </c>
    </row>
    <row r="31" spans="1:14" s="6" customFormat="1" ht="12.75">
      <c r="A31" s="12" t="s">
        <v>48</v>
      </c>
      <c r="B31" s="153" t="s">
        <v>166</v>
      </c>
      <c r="C31" s="7">
        <v>86.089</v>
      </c>
      <c r="D31" s="7">
        <v>30.647</v>
      </c>
      <c r="E31" s="7">
        <v>82.045</v>
      </c>
      <c r="F31" s="7">
        <v>33.292</v>
      </c>
      <c r="G31" s="145">
        <v>0</v>
      </c>
      <c r="H31" s="145">
        <v>0</v>
      </c>
      <c r="I31" s="145">
        <v>0</v>
      </c>
      <c r="J31" s="145">
        <v>0</v>
      </c>
      <c r="K31" s="7">
        <f t="shared" si="0"/>
        <v>0</v>
      </c>
      <c r="L31" s="7">
        <f t="shared" si="1"/>
        <v>0</v>
      </c>
      <c r="M31" s="7">
        <f t="shared" si="2"/>
        <v>0</v>
      </c>
      <c r="N31" s="7">
        <f t="shared" si="3"/>
        <v>0</v>
      </c>
    </row>
    <row r="32" spans="1:14" s="6" customFormat="1" ht="12.75">
      <c r="A32" s="23" t="s">
        <v>50</v>
      </c>
      <c r="B32" s="158" t="s">
        <v>51</v>
      </c>
      <c r="C32" s="7">
        <v>211.092</v>
      </c>
      <c r="D32" s="7">
        <v>83.657</v>
      </c>
      <c r="E32" s="7">
        <v>209.572</v>
      </c>
      <c r="F32" s="7">
        <v>381.606</v>
      </c>
      <c r="G32" s="145">
        <v>0</v>
      </c>
      <c r="H32" s="145">
        <v>0</v>
      </c>
      <c r="I32" s="145">
        <v>0</v>
      </c>
      <c r="J32" s="145">
        <v>0</v>
      </c>
      <c r="K32" s="7">
        <f t="shared" si="0"/>
        <v>0</v>
      </c>
      <c r="L32" s="7">
        <f t="shared" si="1"/>
        <v>0</v>
      </c>
      <c r="M32" s="7">
        <f t="shared" si="2"/>
        <v>0</v>
      </c>
      <c r="N32" s="7">
        <f t="shared" si="3"/>
        <v>0</v>
      </c>
    </row>
    <row r="33" spans="1:14" s="6" customFormat="1" ht="12.75">
      <c r="A33" s="12" t="s">
        <v>52</v>
      </c>
      <c r="B33" s="153" t="s">
        <v>133</v>
      </c>
      <c r="C33" s="7">
        <v>85.688</v>
      </c>
      <c r="D33" s="7">
        <v>46.167</v>
      </c>
      <c r="E33" s="7">
        <v>80.551</v>
      </c>
      <c r="F33" s="7">
        <v>44.882</v>
      </c>
      <c r="G33" s="145">
        <v>0</v>
      </c>
      <c r="H33" s="145">
        <v>0</v>
      </c>
      <c r="I33" s="145">
        <v>0</v>
      </c>
      <c r="J33" s="145">
        <v>0</v>
      </c>
      <c r="K33" s="7">
        <f t="shared" si="0"/>
        <v>0</v>
      </c>
      <c r="L33" s="7">
        <f t="shared" si="1"/>
        <v>0</v>
      </c>
      <c r="M33" s="7">
        <f t="shared" si="2"/>
        <v>0</v>
      </c>
      <c r="N33" s="7">
        <f t="shared" si="3"/>
        <v>0</v>
      </c>
    </row>
    <row r="34" spans="1:14" s="6" customFormat="1" ht="12.75">
      <c r="A34" s="12" t="s">
        <v>56</v>
      </c>
      <c r="B34" s="153" t="s">
        <v>110</v>
      </c>
      <c r="C34" s="7">
        <v>60.863</v>
      </c>
      <c r="D34" s="7">
        <v>41.968</v>
      </c>
      <c r="E34" s="7">
        <v>43.922</v>
      </c>
      <c r="F34" s="7">
        <v>104.344</v>
      </c>
      <c r="G34" s="145">
        <v>0</v>
      </c>
      <c r="H34" s="145">
        <v>0</v>
      </c>
      <c r="I34" s="145">
        <v>0</v>
      </c>
      <c r="J34" s="145">
        <v>0</v>
      </c>
      <c r="K34" s="7">
        <f t="shared" si="0"/>
        <v>0</v>
      </c>
      <c r="L34" s="7">
        <f t="shared" si="1"/>
        <v>0</v>
      </c>
      <c r="M34" s="7">
        <f t="shared" si="2"/>
        <v>0</v>
      </c>
      <c r="N34" s="7">
        <f t="shared" si="3"/>
        <v>0</v>
      </c>
    </row>
    <row r="35" spans="1:14" s="6" customFormat="1" ht="12.75">
      <c r="A35" s="12" t="s">
        <v>53</v>
      </c>
      <c r="B35" s="153" t="s">
        <v>54</v>
      </c>
      <c r="C35" s="7">
        <v>286.276</v>
      </c>
      <c r="D35" s="7">
        <v>32.686</v>
      </c>
      <c r="E35" s="7">
        <v>286.005</v>
      </c>
      <c r="F35" s="7">
        <v>98.64</v>
      </c>
      <c r="G35" s="145">
        <v>0</v>
      </c>
      <c r="H35" s="145">
        <v>0</v>
      </c>
      <c r="I35" s="145">
        <v>0</v>
      </c>
      <c r="J35" s="145">
        <v>0</v>
      </c>
      <c r="K35" s="7">
        <f>(G35/C35)*1.2</f>
        <v>0</v>
      </c>
      <c r="L35" s="7">
        <f t="shared" si="1"/>
        <v>0</v>
      </c>
      <c r="M35" s="7">
        <f t="shared" si="2"/>
        <v>0</v>
      </c>
      <c r="N35" s="7">
        <f t="shared" si="3"/>
        <v>0</v>
      </c>
    </row>
    <row r="36" spans="1:14" s="6" customFormat="1" ht="12.75">
      <c r="A36" s="12" t="s">
        <v>91</v>
      </c>
      <c r="B36" s="153" t="s">
        <v>55</v>
      </c>
      <c r="C36" s="7">
        <v>87.771</v>
      </c>
      <c r="D36" s="7">
        <v>22.073</v>
      </c>
      <c r="E36" s="7">
        <v>82.775</v>
      </c>
      <c r="F36" s="7">
        <v>21.063</v>
      </c>
      <c r="G36" s="145">
        <v>0</v>
      </c>
      <c r="H36" s="145">
        <v>0</v>
      </c>
      <c r="I36" s="145">
        <v>0</v>
      </c>
      <c r="J36" s="145">
        <v>0</v>
      </c>
      <c r="K36" s="7">
        <f t="shared" si="0"/>
        <v>0</v>
      </c>
      <c r="L36" s="7">
        <f t="shared" si="1"/>
        <v>0</v>
      </c>
      <c r="M36" s="7">
        <f t="shared" si="2"/>
        <v>0</v>
      </c>
      <c r="N36" s="7">
        <f t="shared" si="3"/>
        <v>0</v>
      </c>
    </row>
    <row r="37" spans="1:14" s="6" customFormat="1" ht="12.75">
      <c r="A37" s="12" t="s">
        <v>57</v>
      </c>
      <c r="B37" s="153" t="s">
        <v>58</v>
      </c>
      <c r="C37" s="7">
        <v>6.942</v>
      </c>
      <c r="D37" s="7">
        <v>2.637</v>
      </c>
      <c r="E37" s="7">
        <v>6.917</v>
      </c>
      <c r="F37" s="7">
        <v>5.317</v>
      </c>
      <c r="G37" s="145">
        <v>0</v>
      </c>
      <c r="H37" s="145">
        <v>0</v>
      </c>
      <c r="I37" s="145">
        <v>0</v>
      </c>
      <c r="J37" s="145">
        <v>0</v>
      </c>
      <c r="K37" s="7">
        <f t="shared" si="0"/>
        <v>0</v>
      </c>
      <c r="L37" s="7">
        <f t="shared" si="1"/>
        <v>0</v>
      </c>
      <c r="M37" s="7">
        <f t="shared" si="2"/>
        <v>0</v>
      </c>
      <c r="N37" s="7">
        <f t="shared" si="3"/>
        <v>0</v>
      </c>
    </row>
    <row r="38" spans="1:14" s="6" customFormat="1" ht="12.75">
      <c r="A38" s="12" t="s">
        <v>158</v>
      </c>
      <c r="B38" s="153" t="s">
        <v>59</v>
      </c>
      <c r="C38" s="7">
        <v>64.581</v>
      </c>
      <c r="D38" s="7">
        <v>43.745</v>
      </c>
      <c r="E38" s="7">
        <v>55.496</v>
      </c>
      <c r="F38" s="7">
        <v>43.258</v>
      </c>
      <c r="G38" s="145">
        <v>0</v>
      </c>
      <c r="H38" s="145">
        <v>0</v>
      </c>
      <c r="I38" s="145">
        <v>0</v>
      </c>
      <c r="J38" s="145">
        <v>0</v>
      </c>
      <c r="K38" s="7">
        <f t="shared" si="0"/>
        <v>0</v>
      </c>
      <c r="L38" s="7">
        <f t="shared" si="1"/>
        <v>0</v>
      </c>
      <c r="M38" s="7">
        <f t="shared" si="2"/>
        <v>0</v>
      </c>
      <c r="N38" s="7">
        <f t="shared" si="3"/>
        <v>0</v>
      </c>
    </row>
    <row r="39" spans="1:14" s="6" customFormat="1" ht="12.75">
      <c r="A39" s="12" t="s">
        <v>60</v>
      </c>
      <c r="B39" s="153" t="s">
        <v>61</v>
      </c>
      <c r="C39" s="7">
        <v>1462.021</v>
      </c>
      <c r="D39" s="7">
        <v>705.471</v>
      </c>
      <c r="E39" s="7">
        <v>1468.616</v>
      </c>
      <c r="F39" s="7">
        <v>926.461</v>
      </c>
      <c r="G39" s="145">
        <v>0</v>
      </c>
      <c r="H39" s="145">
        <v>0</v>
      </c>
      <c r="I39" s="145">
        <v>0</v>
      </c>
      <c r="J39" s="145">
        <v>0</v>
      </c>
      <c r="K39" s="7">
        <f t="shared" si="0"/>
        <v>0</v>
      </c>
      <c r="L39" s="7">
        <f t="shared" si="1"/>
        <v>0</v>
      </c>
      <c r="M39" s="7">
        <f t="shared" si="2"/>
        <v>0</v>
      </c>
      <c r="N39" s="7">
        <f t="shared" si="3"/>
        <v>0</v>
      </c>
    </row>
    <row r="40" spans="1:14" s="6" customFormat="1" ht="12.75">
      <c r="A40" s="12" t="s">
        <v>159</v>
      </c>
      <c r="B40" s="153" t="s">
        <v>62</v>
      </c>
      <c r="C40" s="7">
        <v>19.856</v>
      </c>
      <c r="D40" s="7">
        <v>5.202</v>
      </c>
      <c r="E40" s="7">
        <v>18.91</v>
      </c>
      <c r="F40" s="7">
        <v>5.464</v>
      </c>
      <c r="G40" s="145">
        <v>0</v>
      </c>
      <c r="H40" s="145">
        <v>0</v>
      </c>
      <c r="I40" s="145">
        <v>0</v>
      </c>
      <c r="J40" s="145">
        <v>0</v>
      </c>
      <c r="K40" s="7">
        <f t="shared" si="0"/>
        <v>0</v>
      </c>
      <c r="L40" s="7">
        <f t="shared" si="1"/>
        <v>0</v>
      </c>
      <c r="M40" s="7">
        <f t="shared" si="2"/>
        <v>0</v>
      </c>
      <c r="N40" s="7">
        <f t="shared" si="3"/>
        <v>0</v>
      </c>
    </row>
    <row r="41" spans="1:14" s="6" customFormat="1" ht="12.75">
      <c r="A41" s="12" t="s">
        <v>63</v>
      </c>
      <c r="B41" s="153" t="s">
        <v>134</v>
      </c>
      <c r="C41" s="7">
        <v>70.693</v>
      </c>
      <c r="D41" s="7">
        <v>25.618</v>
      </c>
      <c r="E41" s="7">
        <v>76.817</v>
      </c>
      <c r="F41" s="7">
        <v>36.886</v>
      </c>
      <c r="G41" s="145">
        <v>0</v>
      </c>
      <c r="H41" s="145">
        <v>0</v>
      </c>
      <c r="I41" s="145">
        <v>0</v>
      </c>
      <c r="J41" s="145">
        <v>0</v>
      </c>
      <c r="K41" s="7">
        <f t="shared" si="0"/>
        <v>0</v>
      </c>
      <c r="L41" s="7">
        <f t="shared" si="1"/>
        <v>0</v>
      </c>
      <c r="M41" s="7">
        <f t="shared" si="2"/>
        <v>0</v>
      </c>
      <c r="N41" s="7">
        <f t="shared" si="3"/>
        <v>0</v>
      </c>
    </row>
    <row r="42" spans="1:14" s="6" customFormat="1" ht="12.75">
      <c r="A42" s="12" t="s">
        <v>64</v>
      </c>
      <c r="B42" s="153" t="s">
        <v>65</v>
      </c>
      <c r="C42" s="7">
        <v>121.157</v>
      </c>
      <c r="D42" s="7">
        <v>40.01</v>
      </c>
      <c r="E42" s="7">
        <v>119.662</v>
      </c>
      <c r="F42" s="7">
        <v>50.45</v>
      </c>
      <c r="G42" s="145">
        <v>0</v>
      </c>
      <c r="H42" s="145">
        <v>0</v>
      </c>
      <c r="I42" s="145">
        <v>0</v>
      </c>
      <c r="J42" s="145">
        <v>0</v>
      </c>
      <c r="K42" s="7">
        <f t="shared" si="0"/>
        <v>0</v>
      </c>
      <c r="L42" s="7">
        <f t="shared" si="1"/>
        <v>0</v>
      </c>
      <c r="M42" s="7">
        <f t="shared" si="2"/>
        <v>0</v>
      </c>
      <c r="N42" s="7">
        <f t="shared" si="3"/>
        <v>0</v>
      </c>
    </row>
    <row r="43" spans="1:14" s="6" customFormat="1" ht="12.75">
      <c r="A43" s="12" t="s">
        <v>68</v>
      </c>
      <c r="B43" s="152" t="s">
        <v>69</v>
      </c>
      <c r="C43" s="7">
        <v>23.918</v>
      </c>
      <c r="D43" s="7">
        <v>7.173</v>
      </c>
      <c r="E43" s="7">
        <v>23.125</v>
      </c>
      <c r="F43" s="7">
        <v>12.316</v>
      </c>
      <c r="G43" s="145">
        <v>0</v>
      </c>
      <c r="H43" s="145">
        <v>0</v>
      </c>
      <c r="I43" s="145">
        <v>0</v>
      </c>
      <c r="J43" s="145">
        <v>0</v>
      </c>
      <c r="K43" s="7">
        <f>(G43/C43)*1.2</f>
        <v>0</v>
      </c>
      <c r="L43" s="7">
        <f>(I43/E43)*1.2</f>
        <v>0</v>
      </c>
      <c r="M43" s="7">
        <f>(H43/D43)*1.2</f>
        <v>0</v>
      </c>
      <c r="N43" s="7">
        <f>(J43/F43)*1.2</f>
        <v>0</v>
      </c>
    </row>
    <row r="44" spans="1:14" s="6" customFormat="1" ht="12.75">
      <c r="A44" s="12" t="s">
        <v>112</v>
      </c>
      <c r="B44" s="152" t="s">
        <v>118</v>
      </c>
      <c r="C44" s="7">
        <v>7.374</v>
      </c>
      <c r="D44" s="7">
        <v>1.412</v>
      </c>
      <c r="E44" s="7">
        <v>2.396</v>
      </c>
      <c r="F44" s="7">
        <v>2.459</v>
      </c>
      <c r="G44" s="145">
        <v>8.873</v>
      </c>
      <c r="H44" s="145">
        <v>0.544</v>
      </c>
      <c r="I44" s="145">
        <v>0.442</v>
      </c>
      <c r="J44" s="145">
        <v>0.065</v>
      </c>
      <c r="K44" s="199">
        <f>(G44/C44)*1.2</f>
        <v>1.4439381611065907</v>
      </c>
      <c r="L44" s="199">
        <f>(I44/E44)*1.2</f>
        <v>0.22136894824707848</v>
      </c>
      <c r="M44" s="199">
        <f>(H44/D44)*1.2</f>
        <v>0.4623229461756374</v>
      </c>
      <c r="N44" s="199">
        <f>(J44/F44)*1.2</f>
        <v>0.03172021146807645</v>
      </c>
    </row>
    <row r="45" spans="1:14" s="6" customFormat="1" ht="12.75">
      <c r="A45" s="12" t="s">
        <v>160</v>
      </c>
      <c r="B45" s="153" t="s">
        <v>117</v>
      </c>
      <c r="C45" s="7">
        <v>249.555</v>
      </c>
      <c r="D45" s="7">
        <v>68.082</v>
      </c>
      <c r="E45" s="7">
        <v>205.061</v>
      </c>
      <c r="F45" s="7">
        <v>113.412</v>
      </c>
      <c r="G45" s="145">
        <v>28.983</v>
      </c>
      <c r="H45" s="145">
        <v>9.994</v>
      </c>
      <c r="I45" s="145">
        <v>0</v>
      </c>
      <c r="J45" s="145">
        <v>0</v>
      </c>
      <c r="K45" s="199">
        <f t="shared" si="0"/>
        <v>0.1393664723207309</v>
      </c>
      <c r="L45" s="7">
        <f t="shared" si="1"/>
        <v>0</v>
      </c>
      <c r="M45" s="199">
        <f t="shared" si="2"/>
        <v>0.176152286948092</v>
      </c>
      <c r="N45" s="7">
        <f t="shared" si="3"/>
        <v>0</v>
      </c>
    </row>
    <row r="46" spans="1:14" s="6" customFormat="1" ht="12.75">
      <c r="A46" s="12" t="s">
        <v>66</v>
      </c>
      <c r="B46" s="153" t="s">
        <v>67</v>
      </c>
      <c r="C46" s="7">
        <v>247.943</v>
      </c>
      <c r="D46" s="7">
        <v>93.381</v>
      </c>
      <c r="E46" s="7">
        <v>250.904</v>
      </c>
      <c r="F46" s="7">
        <v>170.281</v>
      </c>
      <c r="G46" s="145">
        <v>0</v>
      </c>
      <c r="H46" s="145">
        <v>0</v>
      </c>
      <c r="I46" s="145">
        <v>0</v>
      </c>
      <c r="J46" s="145">
        <v>0</v>
      </c>
      <c r="K46" s="7">
        <f t="shared" si="0"/>
        <v>0</v>
      </c>
      <c r="L46" s="7">
        <f t="shared" si="1"/>
        <v>0</v>
      </c>
      <c r="M46" s="7">
        <f t="shared" si="2"/>
        <v>0</v>
      </c>
      <c r="N46" s="7">
        <f t="shared" si="3"/>
        <v>0</v>
      </c>
    </row>
    <row r="47" ht="12.75"/>
    <row r="48" ht="12.75">
      <c r="A48" s="28" t="s">
        <v>135</v>
      </c>
    </row>
    <row r="49" spans="1:2" ht="12.75">
      <c r="A49" s="133" t="s">
        <v>173</v>
      </c>
      <c r="B49" s="39"/>
    </row>
    <row r="50" spans="1:3" ht="12.75">
      <c r="A50" s="133" t="s">
        <v>171</v>
      </c>
      <c r="B50" s="39"/>
      <c r="C50" s="6"/>
    </row>
    <row r="51" spans="1:3" ht="12.75">
      <c r="A51" s="133" t="s">
        <v>172</v>
      </c>
      <c r="B51" s="39"/>
      <c r="C51" s="6"/>
    </row>
    <row r="52" spans="1:3" ht="12.75">
      <c r="A52" s="133"/>
      <c r="B52" s="39"/>
      <c r="C52" s="6"/>
    </row>
    <row r="53" spans="1:2" ht="12.75">
      <c r="A53" s="45"/>
      <c r="B53" s="39"/>
    </row>
  </sheetData>
  <sheetProtection selectLockedCells="1" selectUnlockedCells="1"/>
  <printOptions/>
  <pageMargins left="0.03958333333333333" right="0.03958333333333333" top="0.07847222222222222" bottom="0.39375" header="0.5118055555555555" footer="0.5118055555555555"/>
  <pageSetup horizontalDpi="600" verticalDpi="600" orientation="landscape" scale="87" r:id="rId3"/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O39" sqref="O39"/>
    </sheetView>
  </sheetViews>
  <sheetFormatPr defaultColWidth="9.140625" defaultRowHeight="12.75"/>
  <cols>
    <col min="1" max="1" width="1.421875" style="10" customWidth="1"/>
    <col min="2" max="2" width="21.8515625" style="10" customWidth="1"/>
    <col min="3" max="3" width="19.140625" style="10" customWidth="1"/>
    <col min="4" max="4" width="6.57421875" style="10" customWidth="1"/>
    <col min="5" max="5" width="7.7109375" style="10" customWidth="1"/>
    <col min="6" max="6" width="8.28125" style="10" customWidth="1"/>
    <col min="7" max="9" width="9.140625" style="10" customWidth="1"/>
    <col min="10" max="12" width="0" style="10" hidden="1" customWidth="1"/>
    <col min="13" max="16384" width="9.140625" style="10" customWidth="1"/>
  </cols>
  <sheetData>
    <row r="2" spans="2:12" ht="12.75">
      <c r="B2" s="183" t="s">
        <v>92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2:12" ht="12.75">
      <c r="B3" s="184" t="s">
        <v>168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2" ht="12.75">
      <c r="B4" s="46"/>
      <c r="C4" s="46"/>
      <c r="D4" s="47"/>
      <c r="E4" s="48"/>
      <c r="F4" s="48"/>
      <c r="G4" s="46"/>
      <c r="H4" s="46"/>
      <c r="I4" s="46"/>
      <c r="J4" s="46"/>
      <c r="K4" s="46"/>
      <c r="L4" s="46"/>
    </row>
    <row r="5" spans="2:12" ht="12.75">
      <c r="B5" s="91"/>
      <c r="C5" s="92"/>
      <c r="D5" s="185" t="s">
        <v>71</v>
      </c>
      <c r="E5" s="185"/>
      <c r="F5" s="185"/>
      <c r="G5" s="93" t="s">
        <v>72</v>
      </c>
      <c r="H5" s="94" t="s">
        <v>93</v>
      </c>
      <c r="I5" s="95" t="s">
        <v>74</v>
      </c>
      <c r="J5" s="49" t="s">
        <v>75</v>
      </c>
      <c r="K5" s="50" t="s">
        <v>76</v>
      </c>
      <c r="L5" s="51" t="s">
        <v>77</v>
      </c>
    </row>
    <row r="6" spans="2:12" ht="12.75">
      <c r="B6" s="96"/>
      <c r="C6" s="97" t="s">
        <v>78</v>
      </c>
      <c r="D6" s="98"/>
      <c r="E6" s="99"/>
      <c r="F6" s="100"/>
      <c r="G6" s="101" t="s">
        <v>79</v>
      </c>
      <c r="H6" s="102" t="s">
        <v>79</v>
      </c>
      <c r="I6" s="103" t="s">
        <v>13</v>
      </c>
      <c r="J6" s="52"/>
      <c r="K6" s="53"/>
      <c r="L6" s="54" t="s">
        <v>80</v>
      </c>
    </row>
    <row r="7" spans="2:12" ht="12.75">
      <c r="B7" s="104" t="s">
        <v>11</v>
      </c>
      <c r="C7" s="97" t="s">
        <v>12</v>
      </c>
      <c r="D7" s="105" t="s">
        <v>75</v>
      </c>
      <c r="E7" s="106" t="s">
        <v>81</v>
      </c>
      <c r="F7" s="107" t="s">
        <v>82</v>
      </c>
      <c r="G7" s="108" t="s">
        <v>83</v>
      </c>
      <c r="H7" s="109" t="s">
        <v>83</v>
      </c>
      <c r="I7" s="103" t="s">
        <v>84</v>
      </c>
      <c r="J7" s="52"/>
      <c r="K7" s="53"/>
      <c r="L7" s="54" t="s">
        <v>85</v>
      </c>
    </row>
    <row r="8" spans="2:12" ht="13.5" thickBot="1">
      <c r="B8" s="96"/>
      <c r="C8" s="110"/>
      <c r="D8" s="105" t="s">
        <v>119</v>
      </c>
      <c r="E8" s="97" t="s">
        <v>119</v>
      </c>
      <c r="F8" s="111" t="s">
        <v>119</v>
      </c>
      <c r="G8" s="102" t="s">
        <v>119</v>
      </c>
      <c r="H8" s="97" t="s">
        <v>120</v>
      </c>
      <c r="I8" s="111" t="s">
        <v>119</v>
      </c>
      <c r="J8" s="55" t="s">
        <v>121</v>
      </c>
      <c r="K8" s="56" t="s">
        <v>121</v>
      </c>
      <c r="L8" s="56" t="s">
        <v>121</v>
      </c>
    </row>
    <row r="9" spans="2:12" ht="12.75">
      <c r="B9" s="23" t="s">
        <v>155</v>
      </c>
      <c r="C9" s="152" t="s">
        <v>116</v>
      </c>
      <c r="D9" s="17">
        <v>1.08</v>
      </c>
      <c r="E9" s="17">
        <v>1.344</v>
      </c>
      <c r="F9" s="156">
        <f>SUM(D9:E9)</f>
        <v>2.4240000000000004</v>
      </c>
      <c r="G9" s="17">
        <v>1.08</v>
      </c>
      <c r="H9" s="17">
        <v>1.34</v>
      </c>
      <c r="I9" s="156">
        <f>SUM(G9:H9)</f>
        <v>2.42</v>
      </c>
      <c r="J9" s="57">
        <f>6.61*1.18</f>
        <v>7.7998</v>
      </c>
      <c r="K9" s="58">
        <f>14.11*1.18</f>
        <v>16.6498</v>
      </c>
      <c r="L9" s="58">
        <f>J9+K9</f>
        <v>24.4496</v>
      </c>
    </row>
    <row r="10" spans="2:12" s="135" customFormat="1" ht="12.75">
      <c r="B10" s="12" t="s">
        <v>25</v>
      </c>
      <c r="C10" s="138"/>
      <c r="D10" s="17">
        <v>1.08</v>
      </c>
      <c r="E10" s="17">
        <v>1.308</v>
      </c>
      <c r="F10" s="156">
        <f>SUM(D10:E10)</f>
        <v>2.388</v>
      </c>
      <c r="G10" s="17">
        <v>1.08</v>
      </c>
      <c r="H10" s="17">
        <v>1.308</v>
      </c>
      <c r="I10" s="156">
        <f aca="true" t="shared" si="0" ref="I10:I16">SUM(G10:H10)</f>
        <v>2.388</v>
      </c>
      <c r="J10" s="160"/>
      <c r="K10" s="134"/>
      <c r="L10" s="134"/>
    </row>
    <row r="11" spans="2:9" s="137" customFormat="1" ht="11.25">
      <c r="B11" s="12" t="s">
        <v>111</v>
      </c>
      <c r="C11" s="153" t="s">
        <v>161</v>
      </c>
      <c r="D11" s="15">
        <v>0.88</v>
      </c>
      <c r="E11" s="15">
        <v>0.7</v>
      </c>
      <c r="F11" s="36">
        <f>SUM(D11,E11)</f>
        <v>1.58</v>
      </c>
      <c r="G11" s="200">
        <f>SUM(0.88+0.2)</f>
        <v>1.08</v>
      </c>
      <c r="H11" s="200">
        <f>SUM(0.7+0.16)</f>
        <v>0.86</v>
      </c>
      <c r="I11" s="201">
        <f>SUM(G11:H11)</f>
        <v>1.94</v>
      </c>
    </row>
    <row r="12" spans="2:12" s="6" customFormat="1" ht="12.75">
      <c r="B12" s="12" t="s">
        <v>156</v>
      </c>
      <c r="C12" s="138" t="s">
        <v>23</v>
      </c>
      <c r="D12" s="17">
        <v>0.94</v>
      </c>
      <c r="E12" s="17">
        <v>1.3</v>
      </c>
      <c r="F12" s="156">
        <f>SUM(D12:E12)</f>
        <v>2.24</v>
      </c>
      <c r="G12" s="17">
        <v>0.94</v>
      </c>
      <c r="H12" s="17">
        <v>1.3</v>
      </c>
      <c r="I12" s="156">
        <f t="shared" si="0"/>
        <v>2.24</v>
      </c>
      <c r="J12" s="38"/>
      <c r="K12" s="37"/>
      <c r="L12" s="37"/>
    </row>
    <row r="13" spans="2:12" ht="12.75">
      <c r="B13" s="12" t="s">
        <v>95</v>
      </c>
      <c r="C13" s="153" t="s">
        <v>24</v>
      </c>
      <c r="D13" s="24">
        <v>1.056</v>
      </c>
      <c r="E13" s="24">
        <v>1.56</v>
      </c>
      <c r="F13" s="159">
        <f>E13+D13</f>
        <v>2.616</v>
      </c>
      <c r="G13" s="24">
        <v>1.056</v>
      </c>
      <c r="H13" s="24">
        <v>1.56</v>
      </c>
      <c r="I13" s="159">
        <f t="shared" si="0"/>
        <v>2.616</v>
      </c>
      <c r="J13" s="8">
        <f>7.8*1.18</f>
        <v>9.203999999999999</v>
      </c>
      <c r="K13" s="9">
        <f>9.35*1.18</f>
        <v>11.033</v>
      </c>
      <c r="L13" s="9">
        <f>J13+K13</f>
        <v>20.237</v>
      </c>
    </row>
    <row r="14" spans="2:12" s="6" customFormat="1" ht="12.75">
      <c r="B14" s="12" t="s">
        <v>27</v>
      </c>
      <c r="C14" s="157" t="s">
        <v>28</v>
      </c>
      <c r="D14" s="17">
        <v>0.85</v>
      </c>
      <c r="E14" s="17">
        <v>1.176</v>
      </c>
      <c r="F14" s="156">
        <f>E14+D14</f>
        <v>2.026</v>
      </c>
      <c r="G14" s="17">
        <v>0.85</v>
      </c>
      <c r="H14" s="17">
        <v>1.176</v>
      </c>
      <c r="I14" s="156">
        <f>H14+G14</f>
        <v>2.026</v>
      </c>
      <c r="J14" s="11">
        <f>8.9*1.18</f>
        <v>10.502</v>
      </c>
      <c r="K14" s="5">
        <f>9.75*1.18</f>
        <v>11.504999999999999</v>
      </c>
      <c r="L14" s="5">
        <f>J14+K14</f>
        <v>22.006999999999998</v>
      </c>
    </row>
    <row r="15" spans="2:12" ht="12.75">
      <c r="B15" s="12" t="s">
        <v>29</v>
      </c>
      <c r="C15" s="153" t="s">
        <v>30</v>
      </c>
      <c r="D15" s="24">
        <v>0.748</v>
      </c>
      <c r="E15" s="24">
        <v>0.955</v>
      </c>
      <c r="F15" s="159">
        <f>E15+D15</f>
        <v>1.7029999999999998</v>
      </c>
      <c r="G15" s="202">
        <f>SUM(0.748+0.01)</f>
        <v>0.758</v>
      </c>
      <c r="H15" s="202">
        <v>0.955</v>
      </c>
      <c r="I15" s="203">
        <f t="shared" si="0"/>
        <v>1.713</v>
      </c>
      <c r="J15" s="8">
        <f>9.45*1.18</f>
        <v>11.150999999999998</v>
      </c>
      <c r="K15" s="9">
        <f>12.585*1.18</f>
        <v>14.8503</v>
      </c>
      <c r="L15" s="9">
        <f>J15+K15</f>
        <v>26.0013</v>
      </c>
    </row>
    <row r="16" spans="2:12" ht="12.75">
      <c r="B16" s="12" t="s">
        <v>26</v>
      </c>
      <c r="C16" s="153" t="s">
        <v>162</v>
      </c>
      <c r="D16" s="24">
        <v>0.948</v>
      </c>
      <c r="E16" s="24">
        <v>1.53</v>
      </c>
      <c r="F16" s="159">
        <f>E16+D16</f>
        <v>2.4779999999999998</v>
      </c>
      <c r="G16" s="24">
        <v>0.948</v>
      </c>
      <c r="H16" s="24">
        <v>1.53</v>
      </c>
      <c r="I16" s="159">
        <f t="shared" si="0"/>
        <v>2.4779999999999998</v>
      </c>
      <c r="J16" s="8"/>
      <c r="K16" s="9"/>
      <c r="L16" s="9"/>
    </row>
    <row r="17" spans="2:12" ht="12.75">
      <c r="B17" s="12" t="s">
        <v>31</v>
      </c>
      <c r="C17" s="153" t="s">
        <v>32</v>
      </c>
      <c r="D17" s="24">
        <v>0.84</v>
      </c>
      <c r="E17" s="24">
        <v>1.764</v>
      </c>
      <c r="F17" s="159">
        <f>D17+E17</f>
        <v>2.604</v>
      </c>
      <c r="G17" s="24">
        <v>0.84</v>
      </c>
      <c r="H17" s="24">
        <v>1.764</v>
      </c>
      <c r="I17" s="159">
        <f aca="true" t="shared" si="1" ref="I17:I25">SUM(G17:H17)</f>
        <v>2.604</v>
      </c>
      <c r="J17" s="8">
        <v>9.44</v>
      </c>
      <c r="K17" s="59">
        <v>13.57</v>
      </c>
      <c r="L17" s="9">
        <f>J17+K17</f>
        <v>23.009999999999998</v>
      </c>
    </row>
    <row r="18" spans="2:12" ht="12.75">
      <c r="B18" s="12" t="s">
        <v>41</v>
      </c>
      <c r="C18" s="153" t="s">
        <v>163</v>
      </c>
      <c r="D18" s="24">
        <v>1.38</v>
      </c>
      <c r="E18" s="24">
        <v>1.55</v>
      </c>
      <c r="F18" s="159">
        <f>D18+E18</f>
        <v>2.9299999999999997</v>
      </c>
      <c r="G18" s="204">
        <f>SUM(1.38+0.06)</f>
        <v>1.44</v>
      </c>
      <c r="H18" s="204">
        <f>SUM(1.55+0.06)</f>
        <v>1.61</v>
      </c>
      <c r="I18" s="203">
        <f t="shared" si="1"/>
        <v>3.05</v>
      </c>
      <c r="J18" s="8">
        <f>7.203*1.18</f>
        <v>8.49954</v>
      </c>
      <c r="K18" s="9">
        <f>10.17*1.18</f>
        <v>12.000599999999999</v>
      </c>
      <c r="L18" s="9">
        <f>J18+K18</f>
        <v>20.50014</v>
      </c>
    </row>
    <row r="19" spans="2:9" s="137" customFormat="1" ht="11.25">
      <c r="B19" s="12" t="s">
        <v>33</v>
      </c>
      <c r="C19" s="152" t="s">
        <v>164</v>
      </c>
      <c r="D19" s="24">
        <v>1.056</v>
      </c>
      <c r="E19" s="15">
        <v>1.09</v>
      </c>
      <c r="F19" s="156">
        <f>SUM(D19,E19)</f>
        <v>2.146</v>
      </c>
      <c r="G19" s="204">
        <f>SUM(1.06+0.14)</f>
        <v>1.2000000000000002</v>
      </c>
      <c r="H19" s="204">
        <f>SUM(1.09+0.14)</f>
        <v>1.23</v>
      </c>
      <c r="I19" s="201">
        <f t="shared" si="1"/>
        <v>2.43</v>
      </c>
    </row>
    <row r="20" spans="2:9" s="137" customFormat="1" ht="11.25">
      <c r="B20" s="12" t="s">
        <v>113</v>
      </c>
      <c r="C20" s="152" t="s">
        <v>114</v>
      </c>
      <c r="D20" s="24">
        <v>1.368</v>
      </c>
      <c r="E20" s="24">
        <v>2.016</v>
      </c>
      <c r="F20" s="156">
        <f>SUM(D20,E20)</f>
        <v>3.3840000000000003</v>
      </c>
      <c r="G20" s="204">
        <f>SUM(1.37+0.17)</f>
        <v>1.54</v>
      </c>
      <c r="H20" s="16">
        <v>2.02</v>
      </c>
      <c r="I20" s="201">
        <f t="shared" si="1"/>
        <v>3.56</v>
      </c>
    </row>
    <row r="21" spans="2:12" ht="12.75">
      <c r="B21" s="12" t="s">
        <v>34</v>
      </c>
      <c r="C21" s="153" t="s">
        <v>88</v>
      </c>
      <c r="D21" s="24">
        <v>0.828</v>
      </c>
      <c r="E21" s="24">
        <v>0.828</v>
      </c>
      <c r="F21" s="159">
        <f>D21+E21</f>
        <v>1.656</v>
      </c>
      <c r="G21" s="204">
        <f>SUM(0.83+0.08)</f>
        <v>0.9099999999999999</v>
      </c>
      <c r="H21" s="204">
        <f>SUM(0.83+0.04)</f>
        <v>0.87</v>
      </c>
      <c r="I21" s="203">
        <f t="shared" si="1"/>
        <v>1.7799999999999998</v>
      </c>
      <c r="J21" s="8">
        <v>6.5</v>
      </c>
      <c r="K21" s="9">
        <v>13</v>
      </c>
      <c r="L21" s="9">
        <f>J21+K21</f>
        <v>19.5</v>
      </c>
    </row>
    <row r="22" spans="2:12" ht="12.75">
      <c r="B22" s="12" t="s">
        <v>35</v>
      </c>
      <c r="C22" s="153" t="s">
        <v>36</v>
      </c>
      <c r="D22" s="24">
        <v>1.056</v>
      </c>
      <c r="E22" s="24">
        <v>1.968</v>
      </c>
      <c r="F22" s="159">
        <f>SUM(D22:E22)</f>
        <v>3.024</v>
      </c>
      <c r="G22" s="24">
        <v>1.056</v>
      </c>
      <c r="H22" s="24">
        <v>1.968</v>
      </c>
      <c r="I22" s="159">
        <f>SUM(G22:H22)</f>
        <v>3.024</v>
      </c>
      <c r="J22" s="8">
        <f>9.32*1.18</f>
        <v>10.9976</v>
      </c>
      <c r="K22" s="9">
        <f>12.71*1.18</f>
        <v>14.9978</v>
      </c>
      <c r="L22" s="9">
        <f>J22+K22</f>
        <v>25.9954</v>
      </c>
    </row>
    <row r="23" spans="2:12" s="6" customFormat="1" ht="12.75">
      <c r="B23" s="12" t="s">
        <v>37</v>
      </c>
      <c r="C23" s="138" t="s">
        <v>38</v>
      </c>
      <c r="D23" s="17">
        <v>1.2</v>
      </c>
      <c r="E23" s="17">
        <v>2.496</v>
      </c>
      <c r="F23" s="156">
        <f>D23+E23</f>
        <v>3.6959999999999997</v>
      </c>
      <c r="G23" s="205">
        <f>SUM(1.2+0.12)</f>
        <v>1.3199999999999998</v>
      </c>
      <c r="H23" s="205">
        <f>SUM(2.5+0.18)</f>
        <v>2.68</v>
      </c>
      <c r="I23" s="206">
        <f t="shared" si="1"/>
        <v>4</v>
      </c>
      <c r="J23" s="11"/>
      <c r="K23" s="5"/>
      <c r="L23" s="5"/>
    </row>
    <row r="24" spans="2:9" s="137" customFormat="1" ht="11.25">
      <c r="B24" s="12" t="s">
        <v>157</v>
      </c>
      <c r="C24" s="152" t="s">
        <v>115</v>
      </c>
      <c r="D24" s="15">
        <v>1.1</v>
      </c>
      <c r="E24" s="24">
        <v>1.386</v>
      </c>
      <c r="F24" s="156">
        <f>SUM(D24,E24)</f>
        <v>2.4859999999999998</v>
      </c>
      <c r="G24" s="15">
        <v>1.1</v>
      </c>
      <c r="H24" s="24">
        <v>1.386</v>
      </c>
      <c r="I24" s="159">
        <f t="shared" si="1"/>
        <v>2.4859999999999998</v>
      </c>
    </row>
    <row r="25" spans="2:12" ht="12.75">
      <c r="B25" s="23" t="s">
        <v>39</v>
      </c>
      <c r="C25" s="153" t="s">
        <v>175</v>
      </c>
      <c r="D25" s="24">
        <v>0.987</v>
      </c>
      <c r="E25" s="15">
        <v>1.56</v>
      </c>
      <c r="F25" s="156">
        <f>SUM(D25,E25)</f>
        <v>2.547</v>
      </c>
      <c r="G25" s="205">
        <f>SUM(0.99+0.07)</f>
        <v>1.06</v>
      </c>
      <c r="H25" s="204">
        <f>SUM(1.56+0.07)</f>
        <v>1.6300000000000001</v>
      </c>
      <c r="I25" s="201">
        <f t="shared" si="1"/>
        <v>2.6900000000000004</v>
      </c>
      <c r="J25" s="8"/>
      <c r="K25" s="9"/>
      <c r="L25" s="9"/>
    </row>
    <row r="26" spans="2:12" ht="12.75">
      <c r="B26" s="12" t="s">
        <v>42</v>
      </c>
      <c r="C26" s="153" t="s">
        <v>94</v>
      </c>
      <c r="D26" s="24">
        <v>0.96</v>
      </c>
      <c r="E26" s="24">
        <v>1.368</v>
      </c>
      <c r="F26" s="159">
        <f>D26+E26</f>
        <v>2.3280000000000003</v>
      </c>
      <c r="G26" s="24">
        <v>0.96</v>
      </c>
      <c r="H26" s="24">
        <v>1.368</v>
      </c>
      <c r="I26" s="159">
        <f>G26+H26</f>
        <v>2.3280000000000003</v>
      </c>
      <c r="J26" s="8"/>
      <c r="K26" s="9"/>
      <c r="L26" s="9"/>
    </row>
    <row r="27" spans="2:12" ht="12.75">
      <c r="B27" s="12" t="s">
        <v>43</v>
      </c>
      <c r="C27" s="153"/>
      <c r="D27" s="24">
        <v>1.128</v>
      </c>
      <c r="E27" s="24">
        <v>1.356</v>
      </c>
      <c r="F27" s="159">
        <f>SUM(D27:E27)</f>
        <v>2.484</v>
      </c>
      <c r="G27" s="24">
        <v>1.128</v>
      </c>
      <c r="H27" s="24">
        <v>1.356</v>
      </c>
      <c r="I27" s="159">
        <f>SUM(G27:H27)</f>
        <v>2.484</v>
      </c>
      <c r="J27" s="8"/>
      <c r="K27" s="9"/>
      <c r="L27" s="9"/>
    </row>
    <row r="28" spans="2:12" ht="12.75">
      <c r="B28" s="12" t="s">
        <v>45</v>
      </c>
      <c r="C28" s="153" t="s">
        <v>46</v>
      </c>
      <c r="D28" s="24">
        <v>0.77</v>
      </c>
      <c r="E28" s="24">
        <v>1.225</v>
      </c>
      <c r="F28" s="159">
        <f>E28+D28</f>
        <v>1.995</v>
      </c>
      <c r="G28" s="204">
        <f>SUM(0.77+0.12)</f>
        <v>0.89</v>
      </c>
      <c r="H28" s="204">
        <f>SUM(1.23+0.12)</f>
        <v>1.35</v>
      </c>
      <c r="I28" s="203">
        <f>H28+G28</f>
        <v>2.24</v>
      </c>
      <c r="J28" s="8">
        <v>9.4</v>
      </c>
      <c r="K28" s="9">
        <v>12.7</v>
      </c>
      <c r="L28" s="9">
        <f>J28+K28</f>
        <v>22.1</v>
      </c>
    </row>
    <row r="29" spans="2:12" ht="12.75">
      <c r="B29" s="12" t="s">
        <v>89</v>
      </c>
      <c r="C29" s="153" t="s">
        <v>47</v>
      </c>
      <c r="D29" s="24">
        <v>1.068</v>
      </c>
      <c r="E29" s="24">
        <v>1.068</v>
      </c>
      <c r="F29" s="159">
        <f>SUM(D29:E29)</f>
        <v>2.136</v>
      </c>
      <c r="G29" s="24">
        <v>1.07</v>
      </c>
      <c r="H29" s="24">
        <v>1.07</v>
      </c>
      <c r="I29" s="159">
        <f>SUM(G29:H29)</f>
        <v>2.14</v>
      </c>
      <c r="J29" s="8">
        <f>7.2*1.18</f>
        <v>8.496</v>
      </c>
      <c r="K29" s="59">
        <v>13.22</v>
      </c>
      <c r="L29" s="9">
        <f>J29+K29</f>
        <v>21.716</v>
      </c>
    </row>
    <row r="30" spans="2:13" ht="12.75">
      <c r="B30" s="12" t="s">
        <v>49</v>
      </c>
      <c r="C30" s="153" t="s">
        <v>180</v>
      </c>
      <c r="D30" s="24">
        <v>0.828</v>
      </c>
      <c r="E30" s="24">
        <v>1.21</v>
      </c>
      <c r="F30" s="159">
        <f>SUM(D30,E30)</f>
        <v>2.038</v>
      </c>
      <c r="G30" s="24">
        <v>0.83</v>
      </c>
      <c r="H30" s="24">
        <v>1.21</v>
      </c>
      <c r="I30" s="159">
        <f>SUM(G30,H30)</f>
        <v>2.04</v>
      </c>
      <c r="J30" s="8">
        <v>12.5</v>
      </c>
      <c r="K30" s="9">
        <v>13.33</v>
      </c>
      <c r="L30" s="9">
        <f>J30+K30</f>
        <v>25.83</v>
      </c>
      <c r="M30" s="10" t="s">
        <v>90</v>
      </c>
    </row>
    <row r="31" spans="2:12" ht="12.75">
      <c r="B31" s="12" t="s">
        <v>44</v>
      </c>
      <c r="C31" s="153" t="s">
        <v>165</v>
      </c>
      <c r="D31" s="24">
        <v>1.14</v>
      </c>
      <c r="E31" s="24">
        <v>1.44</v>
      </c>
      <c r="F31" s="159">
        <f>E31+D31</f>
        <v>2.58</v>
      </c>
      <c r="G31" s="24">
        <v>1.14</v>
      </c>
      <c r="H31" s="24">
        <v>1.44</v>
      </c>
      <c r="I31" s="159">
        <f>H31+G31</f>
        <v>2.58</v>
      </c>
      <c r="J31" s="8">
        <v>7</v>
      </c>
      <c r="K31" s="9">
        <v>13</v>
      </c>
      <c r="L31" s="9">
        <f>J31+K31</f>
        <v>20</v>
      </c>
    </row>
    <row r="32" spans="2:12" ht="12.75">
      <c r="B32" s="12" t="s">
        <v>48</v>
      </c>
      <c r="C32" s="153" t="s">
        <v>166</v>
      </c>
      <c r="D32" s="24">
        <v>0.63</v>
      </c>
      <c r="E32" s="24">
        <v>1.0764</v>
      </c>
      <c r="F32" s="159">
        <f>D32+E32</f>
        <v>1.7064</v>
      </c>
      <c r="G32" s="24">
        <v>0.63</v>
      </c>
      <c r="H32" s="24">
        <v>1.08</v>
      </c>
      <c r="I32" s="159">
        <f>SUM(G32:H32)</f>
        <v>1.71</v>
      </c>
      <c r="J32" s="8"/>
      <c r="K32" s="9"/>
      <c r="L32" s="9"/>
    </row>
    <row r="33" spans="2:12" ht="12.75">
      <c r="B33" s="23" t="s">
        <v>50</v>
      </c>
      <c r="C33" s="158" t="s">
        <v>51</v>
      </c>
      <c r="D33" s="24">
        <v>0.89</v>
      </c>
      <c r="E33" s="24">
        <v>0.73</v>
      </c>
      <c r="F33" s="159">
        <f>E33+D33</f>
        <v>1.62</v>
      </c>
      <c r="G33" s="24">
        <v>0.89</v>
      </c>
      <c r="H33" s="24">
        <v>0.73</v>
      </c>
      <c r="I33" s="159">
        <f>H33+G33</f>
        <v>1.62</v>
      </c>
      <c r="J33" s="8">
        <v>13</v>
      </c>
      <c r="K33" s="9">
        <v>9</v>
      </c>
      <c r="L33" s="9">
        <f>J33+K33</f>
        <v>22</v>
      </c>
    </row>
    <row r="34" spans="2:12" ht="12.75">
      <c r="B34" s="12" t="s">
        <v>52</v>
      </c>
      <c r="C34" s="153" t="s">
        <v>133</v>
      </c>
      <c r="D34" s="24">
        <v>0.85</v>
      </c>
      <c r="E34" s="24">
        <v>1.13</v>
      </c>
      <c r="F34" s="159">
        <f>E34+D34</f>
        <v>1.98</v>
      </c>
      <c r="G34" s="24">
        <v>0.85</v>
      </c>
      <c r="H34" s="24">
        <v>1.13</v>
      </c>
      <c r="I34" s="159">
        <f>H34+G34</f>
        <v>1.98</v>
      </c>
      <c r="J34" s="8">
        <f>10.68*1.18</f>
        <v>12.6024</v>
      </c>
      <c r="K34" s="9">
        <f>12.2*1.18</f>
        <v>14.395999999999999</v>
      </c>
      <c r="L34" s="9">
        <f>J34+K34</f>
        <v>26.998399999999997</v>
      </c>
    </row>
    <row r="35" spans="2:12" ht="12.75">
      <c r="B35" s="12" t="s">
        <v>56</v>
      </c>
      <c r="C35" s="153" t="s">
        <v>110</v>
      </c>
      <c r="D35" s="24">
        <v>0.828</v>
      </c>
      <c r="E35" s="24">
        <v>0.97</v>
      </c>
      <c r="F35" s="159">
        <f>SUM(D35,E35)</f>
        <v>1.798</v>
      </c>
      <c r="G35" s="24">
        <v>0.83</v>
      </c>
      <c r="H35" s="24">
        <v>0.97</v>
      </c>
      <c r="I35" s="159">
        <f>SUM(G35,H35)</f>
        <v>1.7999999999999998</v>
      </c>
      <c r="J35" s="8">
        <v>5.18</v>
      </c>
      <c r="K35" s="9">
        <v>4.9</v>
      </c>
      <c r="L35" s="9">
        <f>J35+K35</f>
        <v>10.08</v>
      </c>
    </row>
    <row r="36" spans="2:12" ht="12.75">
      <c r="B36" s="12" t="s">
        <v>53</v>
      </c>
      <c r="C36" s="153" t="s">
        <v>54</v>
      </c>
      <c r="D36" s="24">
        <v>0.92</v>
      </c>
      <c r="E36" s="24">
        <v>0.708</v>
      </c>
      <c r="F36" s="159">
        <f>SUM(D36,E36)</f>
        <v>1.6280000000000001</v>
      </c>
      <c r="G36" s="24">
        <v>0.92</v>
      </c>
      <c r="H36" s="24">
        <v>0.71</v>
      </c>
      <c r="I36" s="159">
        <f>SUM(G36,H36)</f>
        <v>1.63</v>
      </c>
      <c r="J36" s="8">
        <v>10.7</v>
      </c>
      <c r="K36" s="59">
        <v>14.75</v>
      </c>
      <c r="L36" s="9">
        <f>J36+K36</f>
        <v>25.45</v>
      </c>
    </row>
    <row r="37" spans="2:12" ht="12.75">
      <c r="B37" s="12" t="s">
        <v>91</v>
      </c>
      <c r="C37" s="153" t="s">
        <v>55</v>
      </c>
      <c r="D37" s="24">
        <v>1.07</v>
      </c>
      <c r="E37" s="24">
        <v>1.58</v>
      </c>
      <c r="F37" s="159">
        <f>SUM(D37:E37)</f>
        <v>2.6500000000000004</v>
      </c>
      <c r="G37" s="24">
        <v>1.07</v>
      </c>
      <c r="H37" s="24">
        <v>1.58</v>
      </c>
      <c r="I37" s="159">
        <f>SUM(G37:H37)</f>
        <v>2.6500000000000004</v>
      </c>
      <c r="J37" s="8"/>
      <c r="K37" s="59"/>
      <c r="L37" s="9"/>
    </row>
    <row r="38" spans="2:12" ht="12.75">
      <c r="B38" s="12" t="s">
        <v>57</v>
      </c>
      <c r="C38" s="153" t="s">
        <v>58</v>
      </c>
      <c r="D38" s="24">
        <v>1.152</v>
      </c>
      <c r="E38" s="24">
        <v>0.936</v>
      </c>
      <c r="F38" s="159">
        <f>SUM(D38:E38)</f>
        <v>2.088</v>
      </c>
      <c r="G38" s="24">
        <v>1.152</v>
      </c>
      <c r="H38" s="24">
        <v>0.936</v>
      </c>
      <c r="I38" s="159">
        <f>SUM(G38:H38)</f>
        <v>2.088</v>
      </c>
      <c r="J38" s="8">
        <v>12.79</v>
      </c>
      <c r="K38" s="9">
        <v>10.35</v>
      </c>
      <c r="L38" s="9">
        <f>J38+K38</f>
        <v>23.14</v>
      </c>
    </row>
    <row r="39" spans="2:12" ht="12.75">
      <c r="B39" s="12" t="s">
        <v>158</v>
      </c>
      <c r="C39" s="153" t="s">
        <v>59</v>
      </c>
      <c r="D39" s="24">
        <v>1.07</v>
      </c>
      <c r="E39" s="24">
        <v>1.36</v>
      </c>
      <c r="F39" s="159">
        <f>E39+D39</f>
        <v>2.43</v>
      </c>
      <c r="G39" s="24">
        <v>1.07</v>
      </c>
      <c r="H39" s="24">
        <v>1.36</v>
      </c>
      <c r="I39" s="159">
        <f>H39+G39</f>
        <v>2.43</v>
      </c>
      <c r="J39" s="8">
        <v>11</v>
      </c>
      <c r="K39" s="9">
        <v>12.6</v>
      </c>
      <c r="L39" s="9">
        <f>J39+K39</f>
        <v>23.6</v>
      </c>
    </row>
    <row r="40" spans="2:12" ht="12.75">
      <c r="B40" s="12" t="s">
        <v>60</v>
      </c>
      <c r="C40" s="153" t="s">
        <v>61</v>
      </c>
      <c r="D40" s="24">
        <v>0.696</v>
      </c>
      <c r="E40" s="15">
        <v>1.2</v>
      </c>
      <c r="F40" s="136">
        <f>D40+E40</f>
        <v>1.896</v>
      </c>
      <c r="G40" s="15">
        <v>0.7</v>
      </c>
      <c r="H40" s="15">
        <v>1.2</v>
      </c>
      <c r="I40" s="136">
        <f>G40+H40</f>
        <v>1.9</v>
      </c>
      <c r="J40" s="8">
        <f>9.15*1.18</f>
        <v>10.797</v>
      </c>
      <c r="K40" s="9">
        <f>11.19*1.18</f>
        <v>13.204199999999998</v>
      </c>
      <c r="L40" s="9">
        <f>J40+K40</f>
        <v>24.001199999999997</v>
      </c>
    </row>
    <row r="41" spans="2:12" ht="12.75">
      <c r="B41" s="12" t="s">
        <v>159</v>
      </c>
      <c r="C41" s="153" t="s">
        <v>62</v>
      </c>
      <c r="D41" s="15">
        <v>0.84</v>
      </c>
      <c r="E41" s="15">
        <v>1.62</v>
      </c>
      <c r="F41" s="136">
        <f>D41+E41</f>
        <v>2.46</v>
      </c>
      <c r="G41" s="15">
        <v>0.84</v>
      </c>
      <c r="H41" s="15">
        <v>1.62</v>
      </c>
      <c r="I41" s="136">
        <f>G41+H41</f>
        <v>2.46</v>
      </c>
      <c r="J41" s="8"/>
      <c r="K41" s="9"/>
      <c r="L41" s="9"/>
    </row>
    <row r="42" spans="2:12" ht="12.75">
      <c r="B42" s="12" t="s">
        <v>63</v>
      </c>
      <c r="C42" s="153" t="s">
        <v>134</v>
      </c>
      <c r="D42" s="15">
        <v>0.96</v>
      </c>
      <c r="E42" s="15">
        <v>1.08</v>
      </c>
      <c r="F42" s="136">
        <f>SUM(D42,E42)</f>
        <v>2.04</v>
      </c>
      <c r="G42" s="15">
        <v>0.96</v>
      </c>
      <c r="H42" s="15">
        <v>1.08</v>
      </c>
      <c r="I42" s="136">
        <f>SUM(G42,H42)</f>
        <v>2.04</v>
      </c>
      <c r="J42" s="8"/>
      <c r="K42" s="9"/>
      <c r="L42" s="9"/>
    </row>
    <row r="43" spans="2:12" ht="12.75">
      <c r="B43" s="12" t="s">
        <v>64</v>
      </c>
      <c r="C43" s="153" t="s">
        <v>65</v>
      </c>
      <c r="D43" s="15">
        <v>1.21</v>
      </c>
      <c r="E43" s="15">
        <v>1.4</v>
      </c>
      <c r="F43" s="136">
        <f>D43+E43</f>
        <v>2.61</v>
      </c>
      <c r="G43" s="15">
        <v>1.21</v>
      </c>
      <c r="H43" s="15">
        <v>1.4</v>
      </c>
      <c r="I43" s="136">
        <f>G43+H43</f>
        <v>2.61</v>
      </c>
      <c r="J43" s="8">
        <v>12.4</v>
      </c>
      <c r="K43" s="9">
        <v>15.3</v>
      </c>
      <c r="L43" s="9">
        <f>J43+K43</f>
        <v>27.700000000000003</v>
      </c>
    </row>
    <row r="44" spans="2:9" s="137" customFormat="1" ht="11.25">
      <c r="B44" s="12" t="s">
        <v>68</v>
      </c>
      <c r="C44" s="152" t="s">
        <v>69</v>
      </c>
      <c r="D44" s="15">
        <v>0.93</v>
      </c>
      <c r="E44" s="15">
        <v>1.14</v>
      </c>
      <c r="F44" s="36">
        <f>SUM(D44,E44)</f>
        <v>2.07</v>
      </c>
      <c r="G44" s="15">
        <v>0.93</v>
      </c>
      <c r="H44" s="15">
        <v>1.14</v>
      </c>
      <c r="I44" s="136">
        <f>SUM(G44:H44)</f>
        <v>2.07</v>
      </c>
    </row>
    <row r="45" spans="2:9" s="137" customFormat="1" ht="11.25">
      <c r="B45" s="12" t="s">
        <v>112</v>
      </c>
      <c r="C45" s="152" t="s">
        <v>118</v>
      </c>
      <c r="D45" s="24">
        <v>0.996</v>
      </c>
      <c r="E45" s="24">
        <v>1.788</v>
      </c>
      <c r="F45" s="36">
        <f>SUM(D45,E45)</f>
        <v>2.784</v>
      </c>
      <c r="G45" s="204">
        <f>SUM(1+1.44)</f>
        <v>2.44</v>
      </c>
      <c r="H45" s="204">
        <f>SUM(1.79+0.22)</f>
        <v>2.0100000000000002</v>
      </c>
      <c r="I45" s="201">
        <f>SUM(G45:H45)</f>
        <v>4.45</v>
      </c>
    </row>
    <row r="46" spans="2:12" ht="12.75">
      <c r="B46" s="12" t="s">
        <v>160</v>
      </c>
      <c r="C46" s="153" t="s">
        <v>177</v>
      </c>
      <c r="D46" s="15">
        <v>1.45</v>
      </c>
      <c r="E46" s="15">
        <v>2.35</v>
      </c>
      <c r="F46" s="136">
        <f>D46+E46</f>
        <v>3.8</v>
      </c>
      <c r="G46" s="204">
        <f>SUM(1.45+0.14)</f>
        <v>1.5899999999999999</v>
      </c>
      <c r="H46" s="16">
        <v>2.35</v>
      </c>
      <c r="I46" s="201">
        <f>G46+H46</f>
        <v>3.94</v>
      </c>
      <c r="J46" s="8">
        <v>9</v>
      </c>
      <c r="K46" s="9">
        <v>12</v>
      </c>
      <c r="L46" s="9">
        <f>J46+K46</f>
        <v>21</v>
      </c>
    </row>
    <row r="47" spans="2:12" ht="12.75">
      <c r="B47" s="12" t="s">
        <v>66</v>
      </c>
      <c r="C47" s="153" t="s">
        <v>67</v>
      </c>
      <c r="D47" s="15">
        <v>0.86</v>
      </c>
      <c r="E47" s="15">
        <v>1.13</v>
      </c>
      <c r="F47" s="136">
        <f>D47+E47</f>
        <v>1.9899999999999998</v>
      </c>
      <c r="G47" s="15">
        <v>0.86</v>
      </c>
      <c r="H47" s="15">
        <v>1.13</v>
      </c>
      <c r="I47" s="136">
        <f>G47+H47</f>
        <v>1.9899999999999998</v>
      </c>
      <c r="J47" s="8">
        <v>8</v>
      </c>
      <c r="K47" s="59">
        <v>10.62</v>
      </c>
      <c r="L47" s="9">
        <f>J47+K47</f>
        <v>18.619999999999997</v>
      </c>
    </row>
  </sheetData>
  <sheetProtection selectLockedCells="1" selectUnlockedCells="1"/>
  <mergeCells count="3">
    <mergeCell ref="B2:L2"/>
    <mergeCell ref="B3:L3"/>
    <mergeCell ref="D5:F5"/>
  </mergeCells>
  <printOptions/>
  <pageMargins left="0.7479166666666667" right="0.39375" top="0.9840277777777777" bottom="0.19652777777777777" header="0.5118055555555555" footer="0.5118055555555555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0"/>
  <sheetViews>
    <sheetView zoomScale="150" zoomScaleNormal="150" zoomScalePageLayoutView="0" workbookViewId="0" topLeftCell="A1">
      <pane ySplit="7" topLeftCell="A38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9.7109375" style="6" customWidth="1"/>
    <col min="2" max="2" width="16.00390625" style="39" customWidth="1"/>
    <col min="3" max="3" width="8.8515625" style="6" customWidth="1"/>
    <col min="4" max="4" width="8.28125" style="6" customWidth="1"/>
    <col min="5" max="7" width="9.140625" style="6" customWidth="1"/>
    <col min="8" max="8" width="8.57421875" style="6" customWidth="1"/>
    <col min="9" max="11" width="0" style="6" hidden="1" customWidth="1"/>
    <col min="12" max="16384" width="9.140625" style="6" customWidth="1"/>
  </cols>
  <sheetData>
    <row r="2" spans="1:11" ht="12.75">
      <c r="A2" s="186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ht="14.25">
      <c r="A3" s="189" t="s">
        <v>167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12.75">
      <c r="A4" s="114"/>
      <c r="B4" s="115"/>
      <c r="C4" s="192" t="s">
        <v>71</v>
      </c>
      <c r="D4" s="193"/>
      <c r="E4" s="193"/>
      <c r="F4" s="116" t="s">
        <v>72</v>
      </c>
      <c r="G4" s="116" t="s">
        <v>73</v>
      </c>
      <c r="H4" s="117" t="s">
        <v>74</v>
      </c>
      <c r="I4" s="113" t="s">
        <v>75</v>
      </c>
      <c r="J4" s="113" t="s">
        <v>76</v>
      </c>
      <c r="K4" s="112" t="s">
        <v>77</v>
      </c>
    </row>
    <row r="5" spans="1:11" ht="12.75">
      <c r="A5" s="118"/>
      <c r="B5" s="119" t="s">
        <v>78</v>
      </c>
      <c r="C5" s="118"/>
      <c r="D5" s="118"/>
      <c r="E5" s="119"/>
      <c r="F5" s="119" t="s">
        <v>79</v>
      </c>
      <c r="G5" s="119" t="s">
        <v>79</v>
      </c>
      <c r="H5" s="120" t="s">
        <v>13</v>
      </c>
      <c r="I5" s="112"/>
      <c r="J5" s="112"/>
      <c r="K5" s="113" t="s">
        <v>80</v>
      </c>
    </row>
    <row r="6" spans="1:11" ht="12.75">
      <c r="A6" s="121" t="s">
        <v>11</v>
      </c>
      <c r="B6" s="121" t="s">
        <v>12</v>
      </c>
      <c r="C6" s="122" t="s">
        <v>75</v>
      </c>
      <c r="D6" s="122" t="s">
        <v>81</v>
      </c>
      <c r="E6" s="121" t="s">
        <v>82</v>
      </c>
      <c r="F6" s="123" t="s">
        <v>83</v>
      </c>
      <c r="G6" s="123" t="s">
        <v>83</v>
      </c>
      <c r="H6" s="123" t="s">
        <v>84</v>
      </c>
      <c r="I6" s="112"/>
      <c r="J6" s="112"/>
      <c r="K6" s="113" t="s">
        <v>85</v>
      </c>
    </row>
    <row r="7" spans="1:11" ht="12.75">
      <c r="A7" s="122"/>
      <c r="B7" s="154"/>
      <c r="C7" s="121" t="s">
        <v>86</v>
      </c>
      <c r="D7" s="121" t="s">
        <v>86</v>
      </c>
      <c r="E7" s="121" t="s">
        <v>86</v>
      </c>
      <c r="F7" s="121" t="s">
        <v>86</v>
      </c>
      <c r="G7" s="121" t="s">
        <v>86</v>
      </c>
      <c r="H7" s="121" t="s">
        <v>86</v>
      </c>
      <c r="I7" s="113" t="s">
        <v>87</v>
      </c>
      <c r="J7" s="113" t="s">
        <v>87</v>
      </c>
      <c r="K7" s="113" t="s">
        <v>87</v>
      </c>
    </row>
    <row r="8" spans="1:11" s="163" customFormat="1" ht="12.75">
      <c r="A8" s="23" t="s">
        <v>155</v>
      </c>
      <c r="B8" s="152" t="s">
        <v>116</v>
      </c>
      <c r="C8" s="17">
        <v>1.788</v>
      </c>
      <c r="D8" s="17">
        <v>2.328</v>
      </c>
      <c r="E8" s="156">
        <f>SUM(C8:D8)</f>
        <v>4.116</v>
      </c>
      <c r="F8" s="17">
        <v>1.79</v>
      </c>
      <c r="G8" s="17">
        <v>2.328</v>
      </c>
      <c r="H8" s="156">
        <f>SUM(F8:G8)</f>
        <v>4.118</v>
      </c>
      <c r="I8" s="162">
        <f>6.61*1.18</f>
        <v>7.7998</v>
      </c>
      <c r="J8" s="162">
        <f>14.11*1.18</f>
        <v>16.6498</v>
      </c>
      <c r="K8" s="162">
        <f>I8+J8</f>
        <v>24.4496</v>
      </c>
    </row>
    <row r="9" spans="1:11" s="163" customFormat="1" ht="12.75">
      <c r="A9" s="12" t="s">
        <v>25</v>
      </c>
      <c r="B9" s="138"/>
      <c r="C9" s="17">
        <v>1.08</v>
      </c>
      <c r="D9" s="17">
        <v>1.308</v>
      </c>
      <c r="E9" s="156">
        <f>SUM(C9:D9)</f>
        <v>2.388</v>
      </c>
      <c r="F9" s="17">
        <v>1.08</v>
      </c>
      <c r="G9" s="17">
        <v>1.308</v>
      </c>
      <c r="H9" s="156">
        <f>SUM(F9:G9)</f>
        <v>2.388</v>
      </c>
      <c r="I9" s="162"/>
      <c r="J9" s="162"/>
      <c r="K9" s="162"/>
    </row>
    <row r="10" spans="1:8" s="161" customFormat="1" ht="11.25">
      <c r="A10" s="12" t="s">
        <v>111</v>
      </c>
      <c r="B10" s="153" t="s">
        <v>161</v>
      </c>
      <c r="C10" s="17">
        <v>0.875</v>
      </c>
      <c r="D10" s="16">
        <v>0.7</v>
      </c>
      <c r="E10" s="156">
        <f>SUM(C10,D10)</f>
        <v>1.575</v>
      </c>
      <c r="F10" s="17">
        <v>0.875</v>
      </c>
      <c r="G10" s="16">
        <v>0.7</v>
      </c>
      <c r="H10" s="156">
        <f>SUM(F10:G10)</f>
        <v>1.575</v>
      </c>
    </row>
    <row r="11" spans="1:11" s="163" customFormat="1" ht="12.75">
      <c r="A11" s="12" t="s">
        <v>156</v>
      </c>
      <c r="B11" s="138" t="s">
        <v>23</v>
      </c>
      <c r="C11" s="17">
        <v>1.068</v>
      </c>
      <c r="D11" s="17">
        <v>1.428</v>
      </c>
      <c r="E11" s="156">
        <f>SUM(C11:D11)</f>
        <v>2.496</v>
      </c>
      <c r="F11" s="17">
        <v>1.068</v>
      </c>
      <c r="G11" s="17">
        <v>1.428</v>
      </c>
      <c r="H11" s="156">
        <f>SUM(F11:G11)</f>
        <v>2.496</v>
      </c>
      <c r="I11" s="162"/>
      <c r="J11" s="162"/>
      <c r="K11" s="162"/>
    </row>
    <row r="12" spans="1:11" s="163" customFormat="1" ht="12.75">
      <c r="A12" s="12" t="s">
        <v>95</v>
      </c>
      <c r="B12" s="153" t="s">
        <v>24</v>
      </c>
      <c r="C12" s="17">
        <v>1.26</v>
      </c>
      <c r="D12" s="17">
        <v>1.86</v>
      </c>
      <c r="E12" s="156">
        <f>C12+D12</f>
        <v>3.12</v>
      </c>
      <c r="F12" s="17">
        <v>1.26</v>
      </c>
      <c r="G12" s="17">
        <v>1.86</v>
      </c>
      <c r="H12" s="156">
        <f>SUM(F12:G12)</f>
        <v>3.12</v>
      </c>
      <c r="I12" s="162">
        <f>7.8*1.18</f>
        <v>9.203999999999999</v>
      </c>
      <c r="J12" s="162">
        <f>9.35*1.18</f>
        <v>11.033</v>
      </c>
      <c r="K12" s="162">
        <f>I12+J12</f>
        <v>20.237</v>
      </c>
    </row>
    <row r="13" spans="1:11" s="163" customFormat="1" ht="12.75">
      <c r="A13" s="12" t="s">
        <v>27</v>
      </c>
      <c r="B13" s="157" t="s">
        <v>28</v>
      </c>
      <c r="C13" s="17">
        <v>0.85</v>
      </c>
      <c r="D13" s="17">
        <v>1.7</v>
      </c>
      <c r="E13" s="156">
        <f>D13+C13</f>
        <v>2.55</v>
      </c>
      <c r="F13" s="17">
        <v>0.85</v>
      </c>
      <c r="G13" s="17">
        <v>1.7</v>
      </c>
      <c r="H13" s="156">
        <f>G13+F13</f>
        <v>2.55</v>
      </c>
      <c r="I13" s="162">
        <f>8.9*1.18</f>
        <v>10.502</v>
      </c>
      <c r="J13" s="162">
        <f>9.75*1.18</f>
        <v>11.504999999999999</v>
      </c>
      <c r="K13" s="162">
        <f>I13+J13</f>
        <v>22.006999999999998</v>
      </c>
    </row>
    <row r="14" spans="1:11" s="163" customFormat="1" ht="12.75">
      <c r="A14" s="12" t="s">
        <v>29</v>
      </c>
      <c r="B14" s="153" t="s">
        <v>30</v>
      </c>
      <c r="C14" s="17">
        <v>0.998</v>
      </c>
      <c r="D14" s="17">
        <v>1.017</v>
      </c>
      <c r="E14" s="156">
        <f>C14+D14</f>
        <v>2.0149999999999997</v>
      </c>
      <c r="F14" s="205">
        <f>SUM(0.998+0.12)</f>
        <v>1.1179999999999999</v>
      </c>
      <c r="G14" s="17">
        <v>1.017</v>
      </c>
      <c r="H14" s="206">
        <f>F14+G14</f>
        <v>2.135</v>
      </c>
      <c r="I14" s="162">
        <f>9.45*1.18</f>
        <v>11.150999999999998</v>
      </c>
      <c r="J14" s="162">
        <f>12.585*1.18</f>
        <v>14.8503</v>
      </c>
      <c r="K14" s="162">
        <f>I14+J14</f>
        <v>26.0013</v>
      </c>
    </row>
    <row r="15" spans="1:11" s="163" customFormat="1" ht="12.75">
      <c r="A15" s="12" t="s">
        <v>26</v>
      </c>
      <c r="B15" s="153" t="s">
        <v>162</v>
      </c>
      <c r="C15" s="17">
        <v>0.948</v>
      </c>
      <c r="D15" s="17">
        <v>1.53</v>
      </c>
      <c r="E15" s="156">
        <f>SUM(C15:D15)</f>
        <v>2.4779999999999998</v>
      </c>
      <c r="F15" s="17">
        <v>0.948</v>
      </c>
      <c r="G15" s="17">
        <v>1.53</v>
      </c>
      <c r="H15" s="156">
        <f>SUM(F15:G15)</f>
        <v>2.4779999999999998</v>
      </c>
      <c r="I15" s="162"/>
      <c r="J15" s="162"/>
      <c r="K15" s="162"/>
    </row>
    <row r="16" spans="1:11" s="163" customFormat="1" ht="12.75">
      <c r="A16" s="12" t="s">
        <v>31</v>
      </c>
      <c r="B16" s="153" t="s">
        <v>32</v>
      </c>
      <c r="C16" s="24">
        <v>0.84</v>
      </c>
      <c r="D16" s="24">
        <v>1.76</v>
      </c>
      <c r="E16" s="156">
        <f aca="true" t="shared" si="0" ref="E16:E21">C16+D16</f>
        <v>2.6</v>
      </c>
      <c r="F16" s="24">
        <v>0.84</v>
      </c>
      <c r="G16" s="24">
        <v>1.76</v>
      </c>
      <c r="H16" s="156">
        <f>F16+G16</f>
        <v>2.6</v>
      </c>
      <c r="I16" s="162">
        <f>8*1.18</f>
        <v>9.44</v>
      </c>
      <c r="J16" s="133">
        <f>11.5*1.18</f>
        <v>13.569999999999999</v>
      </c>
      <c r="K16" s="162">
        <f>I16+J16</f>
        <v>23.009999999999998</v>
      </c>
    </row>
    <row r="17" spans="1:11" s="163" customFormat="1" ht="12.75">
      <c r="A17" s="12" t="s">
        <v>41</v>
      </c>
      <c r="B17" s="153" t="s">
        <v>163</v>
      </c>
      <c r="C17" s="17">
        <v>1.45</v>
      </c>
      <c r="D17" s="17">
        <v>1.6</v>
      </c>
      <c r="E17" s="156">
        <f t="shared" si="0"/>
        <v>3.05</v>
      </c>
      <c r="F17" s="205">
        <f>SUM(1.45+0.04)</f>
        <v>1.49</v>
      </c>
      <c r="G17" s="205">
        <f>SUM(1.6+0.05)</f>
        <v>1.6500000000000001</v>
      </c>
      <c r="H17" s="206">
        <f>SUM(F17:G17)</f>
        <v>3.14</v>
      </c>
      <c r="I17" s="162">
        <f>7.203*1.18</f>
        <v>8.49954</v>
      </c>
      <c r="J17" s="162">
        <f>10.17*1.18</f>
        <v>12.000599999999999</v>
      </c>
      <c r="K17" s="162">
        <f>I17+J17</f>
        <v>20.50014</v>
      </c>
    </row>
    <row r="18" spans="1:8" s="161" customFormat="1" ht="11.25">
      <c r="A18" s="12" t="s">
        <v>33</v>
      </c>
      <c r="B18" s="152" t="s">
        <v>164</v>
      </c>
      <c r="C18" s="17">
        <v>1.056</v>
      </c>
      <c r="D18" s="17">
        <v>1.09</v>
      </c>
      <c r="E18" s="156">
        <f>SUM(C18,D18)</f>
        <v>2.146</v>
      </c>
      <c r="F18" s="205">
        <f>SUM(1.06+0.1)</f>
        <v>1.1600000000000001</v>
      </c>
      <c r="G18" s="205">
        <f>SUM(1.09+0.08)</f>
        <v>1.1700000000000002</v>
      </c>
      <c r="H18" s="206">
        <f>SUM(F18:G18)</f>
        <v>2.33</v>
      </c>
    </row>
    <row r="19" spans="1:11" s="163" customFormat="1" ht="12.75">
      <c r="A19" s="12" t="s">
        <v>113</v>
      </c>
      <c r="B19" s="152" t="s">
        <v>114</v>
      </c>
      <c r="C19" s="17">
        <v>2.01</v>
      </c>
      <c r="D19" s="17">
        <v>3.25</v>
      </c>
      <c r="E19" s="156">
        <f t="shared" si="0"/>
        <v>5.26</v>
      </c>
      <c r="F19" s="205">
        <f>SUM(2.01+0.07)</f>
        <v>2.0799999999999996</v>
      </c>
      <c r="G19" s="17">
        <v>3.25</v>
      </c>
      <c r="H19" s="206">
        <f>SUM(F19:G19)</f>
        <v>5.33</v>
      </c>
      <c r="I19" s="162">
        <f>13.14*1.18</f>
        <v>15.5052</v>
      </c>
      <c r="J19" s="162">
        <f>13.14*1.18</f>
        <v>15.5052</v>
      </c>
      <c r="K19" s="162">
        <f>I19+J19</f>
        <v>31.0104</v>
      </c>
    </row>
    <row r="20" spans="1:11" s="163" customFormat="1" ht="12.75">
      <c r="A20" s="12" t="s">
        <v>34</v>
      </c>
      <c r="B20" s="153" t="s">
        <v>88</v>
      </c>
      <c r="C20" s="17">
        <v>0.82</v>
      </c>
      <c r="D20" s="17">
        <v>0.77</v>
      </c>
      <c r="E20" s="156">
        <f t="shared" si="0"/>
        <v>1.5899999999999999</v>
      </c>
      <c r="F20" s="205">
        <f>SUM(0.82+0.03)</f>
        <v>0.85</v>
      </c>
      <c r="G20" s="205">
        <f>SUM(0.77+0.08)</f>
        <v>0.85</v>
      </c>
      <c r="H20" s="206">
        <f>F20+G20</f>
        <v>1.7</v>
      </c>
      <c r="I20" s="162">
        <f>9.32*1.18</f>
        <v>10.9976</v>
      </c>
      <c r="J20" s="162">
        <f>12.71*1.18</f>
        <v>14.9978</v>
      </c>
      <c r="K20" s="162">
        <f>I20+J20</f>
        <v>25.9954</v>
      </c>
    </row>
    <row r="21" spans="1:11" s="163" customFormat="1" ht="12.75">
      <c r="A21" s="12" t="s">
        <v>35</v>
      </c>
      <c r="B21" s="153" t="s">
        <v>36</v>
      </c>
      <c r="C21" s="17">
        <v>1.27</v>
      </c>
      <c r="D21" s="17">
        <v>2.36</v>
      </c>
      <c r="E21" s="156">
        <f t="shared" si="0"/>
        <v>3.63</v>
      </c>
      <c r="F21" s="17">
        <v>1.27</v>
      </c>
      <c r="G21" s="17">
        <v>2.36</v>
      </c>
      <c r="H21" s="156">
        <f>SUM(F21:G21)</f>
        <v>3.63</v>
      </c>
      <c r="I21" s="162"/>
      <c r="J21" s="162"/>
      <c r="K21" s="162"/>
    </row>
    <row r="22" spans="1:8" s="161" customFormat="1" ht="11.25">
      <c r="A22" s="12" t="s">
        <v>37</v>
      </c>
      <c r="B22" s="138" t="s">
        <v>38</v>
      </c>
      <c r="C22" s="17">
        <v>1.2</v>
      </c>
      <c r="D22" s="17">
        <v>2.496</v>
      </c>
      <c r="E22" s="156">
        <f>SUM(C22,D22)</f>
        <v>3.6959999999999997</v>
      </c>
      <c r="F22" s="205">
        <f>SUM(1.2+0.13)</f>
        <v>1.33</v>
      </c>
      <c r="G22" s="205">
        <f>SUM(2.5+0.18)</f>
        <v>2.68</v>
      </c>
      <c r="H22" s="206">
        <f>SUM(F22:G22)</f>
        <v>4.01</v>
      </c>
    </row>
    <row r="23" spans="1:11" s="163" customFormat="1" ht="12.75">
      <c r="A23" s="12" t="s">
        <v>157</v>
      </c>
      <c r="B23" s="152" t="s">
        <v>115</v>
      </c>
      <c r="C23" s="17">
        <v>1.27</v>
      </c>
      <c r="D23" s="17">
        <v>1.566</v>
      </c>
      <c r="E23" s="156">
        <f>SUM(C23,D23)</f>
        <v>2.8360000000000003</v>
      </c>
      <c r="F23" s="17">
        <v>1.27</v>
      </c>
      <c r="G23" s="17">
        <v>1.566</v>
      </c>
      <c r="H23" s="156">
        <f>SUM(F23:G23)</f>
        <v>2.8360000000000003</v>
      </c>
      <c r="I23" s="162">
        <f>11.02*1.18</f>
        <v>13.003599999999999</v>
      </c>
      <c r="J23" s="162">
        <f>14.41*1.18</f>
        <v>17.0038</v>
      </c>
      <c r="K23" s="162">
        <f>I23+J23</f>
        <v>30.007399999999997</v>
      </c>
    </row>
    <row r="24" spans="1:11" s="163" customFormat="1" ht="12.75">
      <c r="A24" s="23" t="s">
        <v>39</v>
      </c>
      <c r="B24" s="153" t="s">
        <v>176</v>
      </c>
      <c r="C24" s="17">
        <v>1.19</v>
      </c>
      <c r="D24" s="17">
        <v>1.888</v>
      </c>
      <c r="E24" s="156">
        <f>SUM(C24,D24)</f>
        <v>3.078</v>
      </c>
      <c r="F24" s="205">
        <f>SUM(1.19+0.04)</f>
        <v>1.23</v>
      </c>
      <c r="G24" s="205">
        <f>SUM(1.89+0.03)</f>
        <v>1.92</v>
      </c>
      <c r="H24" s="206">
        <f>SUM(F24,G24)</f>
        <v>3.15</v>
      </c>
      <c r="I24" s="162"/>
      <c r="J24" s="162"/>
      <c r="K24" s="162"/>
    </row>
    <row r="25" spans="1:11" s="163" customFormat="1" ht="12.75">
      <c r="A25" s="12" t="s">
        <v>42</v>
      </c>
      <c r="B25" s="153" t="s">
        <v>94</v>
      </c>
      <c r="C25" s="17">
        <v>0.96</v>
      </c>
      <c r="D25" s="17">
        <v>1.368</v>
      </c>
      <c r="E25" s="156">
        <f>C25+D25</f>
        <v>2.3280000000000003</v>
      </c>
      <c r="F25" s="17">
        <v>0.96</v>
      </c>
      <c r="G25" s="17">
        <v>1.368</v>
      </c>
      <c r="H25" s="156">
        <f>F25+G25</f>
        <v>2.3280000000000003</v>
      </c>
      <c r="I25" s="162"/>
      <c r="J25" s="162"/>
      <c r="K25" s="162"/>
    </row>
    <row r="26" spans="1:11" s="163" customFormat="1" ht="12.75">
      <c r="A26" s="12" t="s">
        <v>43</v>
      </c>
      <c r="B26" s="153"/>
      <c r="C26" s="17">
        <v>1.128</v>
      </c>
      <c r="D26" s="17">
        <v>1.356</v>
      </c>
      <c r="E26" s="156">
        <f>SUM(C26:D26)</f>
        <v>2.484</v>
      </c>
      <c r="F26" s="17">
        <v>1.128</v>
      </c>
      <c r="G26" s="17">
        <v>1.356</v>
      </c>
      <c r="H26" s="156">
        <f>SUM(F26:G26)</f>
        <v>2.484</v>
      </c>
      <c r="I26" s="162"/>
      <c r="J26" s="162"/>
      <c r="K26" s="162"/>
    </row>
    <row r="27" spans="1:11" s="163" customFormat="1" ht="12.75">
      <c r="A27" s="12" t="s">
        <v>45</v>
      </c>
      <c r="B27" s="153" t="s">
        <v>179</v>
      </c>
      <c r="C27" s="17">
        <v>0.785</v>
      </c>
      <c r="D27" s="17">
        <v>1.7</v>
      </c>
      <c r="E27" s="156">
        <f>C27+D27</f>
        <v>2.485</v>
      </c>
      <c r="F27" s="205">
        <f>SUM(0.79+0.2)</f>
        <v>0.99</v>
      </c>
      <c r="G27" s="205">
        <f>SUM(1.7+0.15)</f>
        <v>1.8499999999999999</v>
      </c>
      <c r="H27" s="206">
        <f>F27+G27</f>
        <v>2.84</v>
      </c>
      <c r="I27" s="162">
        <f>9.576*1.18</f>
        <v>11.29968</v>
      </c>
      <c r="J27" s="162">
        <f>13.22*1.18</f>
        <v>15.5996</v>
      </c>
      <c r="K27" s="162">
        <f>I27+J27</f>
        <v>26.89928</v>
      </c>
    </row>
    <row r="28" spans="1:11" s="163" customFormat="1" ht="12.75">
      <c r="A28" s="12" t="s">
        <v>89</v>
      </c>
      <c r="B28" s="153" t="s">
        <v>47</v>
      </c>
      <c r="C28" s="17">
        <v>1.476</v>
      </c>
      <c r="D28" s="17">
        <v>1.476</v>
      </c>
      <c r="E28" s="156">
        <f>C28+D28</f>
        <v>2.952</v>
      </c>
      <c r="F28" s="17">
        <v>1.48</v>
      </c>
      <c r="G28" s="17">
        <v>1.48</v>
      </c>
      <c r="H28" s="156">
        <f>SUM(F28:G28)</f>
        <v>2.96</v>
      </c>
      <c r="I28" s="162">
        <f>7.2*1.18</f>
        <v>8.496</v>
      </c>
      <c r="J28" s="133">
        <f>25*1.18</f>
        <v>29.5</v>
      </c>
      <c r="K28" s="162">
        <f>I28+J28</f>
        <v>37.996</v>
      </c>
    </row>
    <row r="29" spans="1:11" s="163" customFormat="1" ht="12.75">
      <c r="A29" s="12" t="s">
        <v>49</v>
      </c>
      <c r="B29" s="153" t="s">
        <v>180</v>
      </c>
      <c r="C29" s="17">
        <v>0.828</v>
      </c>
      <c r="D29" s="17">
        <v>1.21</v>
      </c>
      <c r="E29" s="156">
        <f>SUM(C29,D29)</f>
        <v>2.038</v>
      </c>
      <c r="F29" s="17">
        <v>0.83</v>
      </c>
      <c r="G29" s="17">
        <v>1.21</v>
      </c>
      <c r="H29" s="156">
        <f>SUM(F29,G29)</f>
        <v>2.04</v>
      </c>
      <c r="I29" s="162">
        <f>15*1.18</f>
        <v>17.7</v>
      </c>
      <c r="J29" s="162">
        <f>15*1.18</f>
        <v>17.7</v>
      </c>
      <c r="K29" s="162">
        <f>I29+J29</f>
        <v>35.4</v>
      </c>
    </row>
    <row r="30" spans="1:11" s="163" customFormat="1" ht="12.75">
      <c r="A30" s="12" t="s">
        <v>44</v>
      </c>
      <c r="B30" s="153" t="s">
        <v>165</v>
      </c>
      <c r="C30" s="17">
        <v>1.26</v>
      </c>
      <c r="D30" s="17">
        <v>1.62</v>
      </c>
      <c r="E30" s="156">
        <f>SUM(C30:D30)</f>
        <v>2.88</v>
      </c>
      <c r="F30" s="17">
        <v>1.26</v>
      </c>
      <c r="G30" s="17">
        <v>1.62</v>
      </c>
      <c r="H30" s="156">
        <f>SUM(F30:G30)</f>
        <v>2.88</v>
      </c>
      <c r="I30" s="162">
        <f>10*1.18</f>
        <v>11.799999999999999</v>
      </c>
      <c r="J30" s="162">
        <f>25*1.18</f>
        <v>29.5</v>
      </c>
      <c r="K30" s="162">
        <f>I30+J30</f>
        <v>41.3</v>
      </c>
    </row>
    <row r="31" spans="1:11" s="163" customFormat="1" ht="12.75">
      <c r="A31" s="12" t="s">
        <v>48</v>
      </c>
      <c r="B31" s="153" t="s">
        <v>166</v>
      </c>
      <c r="C31" s="17">
        <v>0.99</v>
      </c>
      <c r="D31" s="17">
        <v>1.2888</v>
      </c>
      <c r="E31" s="156">
        <f>C31+D31</f>
        <v>2.2788</v>
      </c>
      <c r="F31" s="17">
        <v>0.99</v>
      </c>
      <c r="G31" s="17">
        <v>1.29</v>
      </c>
      <c r="H31" s="156">
        <f>SUM(F31:G31)</f>
        <v>2.2800000000000002</v>
      </c>
      <c r="I31" s="162"/>
      <c r="J31" s="162"/>
      <c r="K31" s="162"/>
    </row>
    <row r="32" spans="1:11" s="163" customFormat="1" ht="12.75">
      <c r="A32" s="23" t="s">
        <v>50</v>
      </c>
      <c r="B32" s="158" t="s">
        <v>51</v>
      </c>
      <c r="C32" s="17">
        <v>0.89</v>
      </c>
      <c r="D32" s="17">
        <v>0.744</v>
      </c>
      <c r="E32" s="156">
        <f>C32+D32</f>
        <v>1.634</v>
      </c>
      <c r="F32" s="17">
        <v>0.89</v>
      </c>
      <c r="G32" s="17">
        <v>0.74</v>
      </c>
      <c r="H32" s="156">
        <f>SUM(F32:G32)</f>
        <v>1.63</v>
      </c>
      <c r="I32" s="162">
        <f>11.44*1.18</f>
        <v>13.499199999999998</v>
      </c>
      <c r="J32" s="162">
        <f>8.9*1.18</f>
        <v>10.502</v>
      </c>
      <c r="K32" s="162">
        <f>I32+J32</f>
        <v>24.001199999999997</v>
      </c>
    </row>
    <row r="33" spans="1:11" s="163" customFormat="1" ht="12.75">
      <c r="A33" s="12" t="s">
        <v>52</v>
      </c>
      <c r="B33" s="153" t="s">
        <v>133</v>
      </c>
      <c r="C33" s="17">
        <v>0.85</v>
      </c>
      <c r="D33" s="17">
        <v>1.13</v>
      </c>
      <c r="E33" s="156">
        <f>D33+C33</f>
        <v>1.98</v>
      </c>
      <c r="F33" s="17">
        <v>0.85</v>
      </c>
      <c r="G33" s="17">
        <v>1.13</v>
      </c>
      <c r="H33" s="156">
        <f>G33+F33</f>
        <v>1.98</v>
      </c>
      <c r="I33" s="162">
        <f>10.68*1.18</f>
        <v>12.6024</v>
      </c>
      <c r="J33" s="162">
        <f>12.2*1.18</f>
        <v>14.395999999999999</v>
      </c>
      <c r="K33" s="162">
        <f>I33+J33</f>
        <v>26.998399999999997</v>
      </c>
    </row>
    <row r="34" spans="1:11" s="163" customFormat="1" ht="12.75">
      <c r="A34" s="12" t="s">
        <v>56</v>
      </c>
      <c r="B34" s="153" t="s">
        <v>110</v>
      </c>
      <c r="C34" s="17">
        <v>1.188</v>
      </c>
      <c r="D34" s="17">
        <v>2.136</v>
      </c>
      <c r="E34" s="156">
        <f>SUM(C34,D34)</f>
        <v>3.324</v>
      </c>
      <c r="F34" s="17">
        <v>1.19</v>
      </c>
      <c r="G34" s="17">
        <v>2.14</v>
      </c>
      <c r="H34" s="156">
        <f>SUM(F34,G34)</f>
        <v>3.33</v>
      </c>
      <c r="I34" s="162">
        <f>10.3*1.18</f>
        <v>12.154</v>
      </c>
      <c r="J34" s="162">
        <f>10.58*1.18</f>
        <v>12.484399999999999</v>
      </c>
      <c r="K34" s="162">
        <f>I34+J34</f>
        <v>24.638399999999997</v>
      </c>
    </row>
    <row r="35" spans="1:11" s="163" customFormat="1" ht="12.75">
      <c r="A35" s="12" t="s">
        <v>53</v>
      </c>
      <c r="B35" s="153" t="s">
        <v>54</v>
      </c>
      <c r="C35" s="17">
        <v>1.07</v>
      </c>
      <c r="D35" s="17">
        <v>0.9</v>
      </c>
      <c r="E35" s="156">
        <f>SUM(C35,D35)</f>
        <v>1.9700000000000002</v>
      </c>
      <c r="F35" s="17">
        <v>1.07</v>
      </c>
      <c r="G35" s="17">
        <v>0.9</v>
      </c>
      <c r="H35" s="156">
        <f>SUM(F35,G35)</f>
        <v>1.9700000000000002</v>
      </c>
      <c r="I35" s="162">
        <f>18.5*1.18</f>
        <v>21.83</v>
      </c>
      <c r="J35" s="133">
        <f>26*1.18</f>
        <v>30.68</v>
      </c>
      <c r="K35" s="162">
        <f>I35+J35</f>
        <v>52.51</v>
      </c>
    </row>
    <row r="36" spans="1:11" s="163" customFormat="1" ht="12.75">
      <c r="A36" s="12" t="s">
        <v>91</v>
      </c>
      <c r="B36" s="153" t="s">
        <v>55</v>
      </c>
      <c r="C36" s="17">
        <v>2.03</v>
      </c>
      <c r="D36" s="17">
        <v>3.04</v>
      </c>
      <c r="E36" s="156">
        <f>SUM(C36,D36)</f>
        <v>5.07</v>
      </c>
      <c r="F36" s="17">
        <v>2.03</v>
      </c>
      <c r="G36" s="17">
        <v>3.04</v>
      </c>
      <c r="H36" s="156">
        <f>SUM(F36,G36)</f>
        <v>5.07</v>
      </c>
      <c r="I36" s="162"/>
      <c r="J36" s="133"/>
      <c r="K36" s="162"/>
    </row>
    <row r="37" spans="1:11" s="163" customFormat="1" ht="12.75">
      <c r="A37" s="12" t="s">
        <v>57</v>
      </c>
      <c r="B37" s="153" t="s">
        <v>58</v>
      </c>
      <c r="C37" s="17">
        <v>2.784</v>
      </c>
      <c r="D37" s="17">
        <v>2.064</v>
      </c>
      <c r="E37" s="156">
        <f>SUM(C37,D37)</f>
        <v>4.848</v>
      </c>
      <c r="F37" s="17">
        <v>2.784</v>
      </c>
      <c r="G37" s="17">
        <v>2.064</v>
      </c>
      <c r="H37" s="156">
        <f>SUM(F37,G37)</f>
        <v>4.848</v>
      </c>
      <c r="I37" s="162">
        <f>26.27*1.18</f>
        <v>30.998599999999996</v>
      </c>
      <c r="J37" s="162">
        <f>19.2*1.18</f>
        <v>22.656</v>
      </c>
      <c r="K37" s="162">
        <f>I37+J37</f>
        <v>53.654599999999995</v>
      </c>
    </row>
    <row r="38" spans="1:11" s="163" customFormat="1" ht="12.75">
      <c r="A38" s="12" t="s">
        <v>158</v>
      </c>
      <c r="B38" s="153" t="s">
        <v>59</v>
      </c>
      <c r="C38" s="17">
        <v>1.26</v>
      </c>
      <c r="D38" s="17">
        <v>1.6</v>
      </c>
      <c r="E38" s="156">
        <f>SUM(C38:D38)</f>
        <v>2.8600000000000003</v>
      </c>
      <c r="F38" s="17">
        <v>1.26</v>
      </c>
      <c r="G38" s="17">
        <v>1.6</v>
      </c>
      <c r="H38" s="156">
        <f>SUM(F38:G38)</f>
        <v>2.8600000000000003</v>
      </c>
      <c r="I38" s="162">
        <f>11.02*1.18</f>
        <v>13.003599999999999</v>
      </c>
      <c r="J38" s="162">
        <f>12.63*1.18</f>
        <v>14.9034</v>
      </c>
      <c r="K38" s="162">
        <f>I38+J38</f>
        <v>27.906999999999996</v>
      </c>
    </row>
    <row r="39" spans="1:11" s="163" customFormat="1" ht="12.75">
      <c r="A39" s="12" t="s">
        <v>60</v>
      </c>
      <c r="B39" s="153" t="s">
        <v>61</v>
      </c>
      <c r="C39" s="17">
        <v>0.7</v>
      </c>
      <c r="D39" s="17">
        <v>1.2</v>
      </c>
      <c r="E39" s="156">
        <f>C39+D39</f>
        <v>1.9</v>
      </c>
      <c r="F39" s="17">
        <v>0.7</v>
      </c>
      <c r="G39" s="17">
        <v>1.2</v>
      </c>
      <c r="H39" s="156">
        <f>F39+G39</f>
        <v>1.9</v>
      </c>
      <c r="I39" s="162">
        <f>9.15*1.18</f>
        <v>10.797</v>
      </c>
      <c r="J39" s="162">
        <f>11.19*1.18</f>
        <v>13.204199999999998</v>
      </c>
      <c r="K39" s="162">
        <f>I39+J39</f>
        <v>24.001199999999997</v>
      </c>
    </row>
    <row r="40" spans="1:11" s="163" customFormat="1" ht="12.75">
      <c r="A40" s="12" t="s">
        <v>159</v>
      </c>
      <c r="B40" s="153" t="s">
        <v>62</v>
      </c>
      <c r="C40" s="17">
        <v>0.8448</v>
      </c>
      <c r="D40" s="17">
        <v>1.62</v>
      </c>
      <c r="E40" s="156">
        <f>C40+D40</f>
        <v>2.4648000000000003</v>
      </c>
      <c r="F40" s="17">
        <v>0.84</v>
      </c>
      <c r="G40" s="17">
        <v>1.62</v>
      </c>
      <c r="H40" s="156">
        <f>F40+G40</f>
        <v>2.46</v>
      </c>
      <c r="I40" s="162"/>
      <c r="J40" s="162"/>
      <c r="K40" s="162"/>
    </row>
    <row r="41" spans="1:11" s="163" customFormat="1" ht="12.75">
      <c r="A41" s="12" t="s">
        <v>63</v>
      </c>
      <c r="B41" s="153" t="s">
        <v>134</v>
      </c>
      <c r="C41" s="17">
        <v>1.15</v>
      </c>
      <c r="D41" s="17">
        <v>1.26</v>
      </c>
      <c r="E41" s="156">
        <f>SUM(C41,D41)</f>
        <v>2.41</v>
      </c>
      <c r="F41" s="17">
        <v>1.15</v>
      </c>
      <c r="G41" s="17">
        <v>1.26</v>
      </c>
      <c r="H41" s="156">
        <f>SUM(F41,G41)</f>
        <v>2.41</v>
      </c>
      <c r="I41" s="162"/>
      <c r="J41" s="162"/>
      <c r="K41" s="162"/>
    </row>
    <row r="42" spans="1:11" s="163" customFormat="1" ht="12.75">
      <c r="A42" s="12" t="s">
        <v>64</v>
      </c>
      <c r="B42" s="153" t="s">
        <v>65</v>
      </c>
      <c r="C42" s="24">
        <v>1.21</v>
      </c>
      <c r="D42" s="24">
        <v>1.4</v>
      </c>
      <c r="E42" s="156">
        <f>C42+D42</f>
        <v>2.61</v>
      </c>
      <c r="F42" s="24">
        <v>1.21</v>
      </c>
      <c r="G42" s="24">
        <v>1.4</v>
      </c>
      <c r="H42" s="156">
        <f>F42+G42</f>
        <v>2.61</v>
      </c>
      <c r="I42" s="162">
        <f>11.44*1.18</f>
        <v>13.499199999999998</v>
      </c>
      <c r="J42" s="162">
        <f>15.68*1.18</f>
        <v>18.502399999999998</v>
      </c>
      <c r="K42" s="162">
        <f>I42+J42</f>
        <v>32.001599999999996</v>
      </c>
    </row>
    <row r="43" spans="1:8" s="161" customFormat="1" ht="12" customHeight="1">
      <c r="A43" s="12" t="s">
        <v>68</v>
      </c>
      <c r="B43" s="152" t="s">
        <v>69</v>
      </c>
      <c r="C43" s="17">
        <v>0.93</v>
      </c>
      <c r="D43" s="17">
        <v>1.14</v>
      </c>
      <c r="E43" s="156">
        <f>SUM(C43,D43)</f>
        <v>2.07</v>
      </c>
      <c r="F43" s="17">
        <v>0.93</v>
      </c>
      <c r="G43" s="17">
        <v>1.14</v>
      </c>
      <c r="H43" s="156">
        <f>SUM(F43:G43)</f>
        <v>2.07</v>
      </c>
    </row>
    <row r="44" spans="1:8" s="161" customFormat="1" ht="11.25">
      <c r="A44" s="12" t="s">
        <v>112</v>
      </c>
      <c r="B44" s="152" t="s">
        <v>118</v>
      </c>
      <c r="C44" s="17">
        <v>0.996</v>
      </c>
      <c r="D44" s="17">
        <v>1.79</v>
      </c>
      <c r="E44" s="156">
        <f>SUM(C44,D44)</f>
        <v>2.786</v>
      </c>
      <c r="F44" s="205">
        <f>SUM(1+0.46)</f>
        <v>1.46</v>
      </c>
      <c r="G44" s="205">
        <f>SUM(1.79+0.03)</f>
        <v>1.82</v>
      </c>
      <c r="H44" s="206">
        <f>SUM(F44:G44)</f>
        <v>3.2800000000000002</v>
      </c>
    </row>
    <row r="45" spans="1:11" s="163" customFormat="1" ht="12.75">
      <c r="A45" s="12" t="s">
        <v>160</v>
      </c>
      <c r="B45" s="153" t="s">
        <v>178</v>
      </c>
      <c r="C45" s="17">
        <v>2.06</v>
      </c>
      <c r="D45" s="17">
        <v>1.94</v>
      </c>
      <c r="E45" s="156">
        <f>C45+D45</f>
        <v>4</v>
      </c>
      <c r="F45" s="205">
        <f>SUM(2.06+0.18)</f>
        <v>2.24</v>
      </c>
      <c r="G45" s="17">
        <v>1.94</v>
      </c>
      <c r="H45" s="206">
        <f>F45+G45</f>
        <v>4.18</v>
      </c>
      <c r="I45" s="162">
        <f>9*1.18</f>
        <v>10.62</v>
      </c>
      <c r="J45" s="162">
        <f>12*1.18</f>
        <v>14.16</v>
      </c>
      <c r="K45" s="162">
        <f>I45+J45</f>
        <v>24.78</v>
      </c>
    </row>
    <row r="46" spans="1:11" s="163" customFormat="1" ht="12.75">
      <c r="A46" s="12" t="s">
        <v>66</v>
      </c>
      <c r="B46" s="153" t="s">
        <v>67</v>
      </c>
      <c r="C46" s="17">
        <v>0.86</v>
      </c>
      <c r="D46" s="17">
        <v>1.13</v>
      </c>
      <c r="E46" s="156">
        <f>C46+D46</f>
        <v>1.9899999999999998</v>
      </c>
      <c r="F46" s="17">
        <v>0.86</v>
      </c>
      <c r="G46" s="17">
        <v>1.13</v>
      </c>
      <c r="H46" s="156">
        <f>F46+G46</f>
        <v>1.9899999999999998</v>
      </c>
      <c r="I46" s="162">
        <f>10*1.18</f>
        <v>11.799999999999999</v>
      </c>
      <c r="J46" s="133">
        <f>13*1.18</f>
        <v>15.34</v>
      </c>
      <c r="K46" s="162">
        <f>I46+J46</f>
        <v>27.14</v>
      </c>
    </row>
    <row r="47" spans="9:11" ht="12.75">
      <c r="I47" s="155"/>
      <c r="J47" s="155"/>
      <c r="K47" s="155"/>
    </row>
    <row r="48" spans="3:8" ht="12.75">
      <c r="C48" s="40"/>
      <c r="D48" s="40"/>
      <c r="E48" s="40"/>
      <c r="F48" s="40"/>
      <c r="G48" s="40"/>
      <c r="H48" s="41"/>
    </row>
    <row r="49" ht="12.75">
      <c r="E49" s="40"/>
    </row>
    <row r="50" ht="12.75">
      <c r="E50" s="40"/>
    </row>
  </sheetData>
  <sheetProtection selectLockedCells="1" selectUnlockedCells="1"/>
  <mergeCells count="3">
    <mergeCell ref="A2:K2"/>
    <mergeCell ref="A3:K3"/>
    <mergeCell ref="C4:E4"/>
  </mergeCells>
  <printOptions/>
  <pageMargins left="0.7479166666666667" right="0.7479166666666667" top="0.5902777777777778" bottom="0.5902777777777778" header="0.5118055555555555" footer="0.5118055555555555"/>
  <pageSetup horizontalDpi="600" verticalDpi="600" orientation="portrait" paperSize="9" scale="89" r:id="rId1"/>
  <rowBreaks count="1" manualBreakCount="1">
    <brk id="4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46"/>
  <sheetViews>
    <sheetView zoomScale="120" zoomScaleNormal="120" zoomScaleSheetLayoutView="55" zoomScalePageLayoutView="0" workbookViewId="0" topLeftCell="A1">
      <selection activeCell="J53" sqref="J53"/>
    </sheetView>
  </sheetViews>
  <sheetFormatPr defaultColWidth="9.140625" defaultRowHeight="12.75"/>
  <cols>
    <col min="2" max="2" width="22.7109375" style="0" customWidth="1"/>
    <col min="3" max="4" width="6.8515625" style="28" customWidth="1"/>
  </cols>
  <sheetData>
    <row r="2" spans="1:5" ht="12.75">
      <c r="A2" s="194" t="s">
        <v>130</v>
      </c>
      <c r="B2" s="194"/>
      <c r="C2" s="194"/>
      <c r="D2" s="194"/>
      <c r="E2" s="194"/>
    </row>
    <row r="3" spans="2:3" ht="12.75">
      <c r="B3" s="124" t="s">
        <v>131</v>
      </c>
      <c r="C3" s="28" t="s">
        <v>123</v>
      </c>
    </row>
    <row r="5" spans="2:4" ht="12.75">
      <c r="B5" s="13" t="s">
        <v>11</v>
      </c>
      <c r="C5" s="179" t="s">
        <v>75</v>
      </c>
      <c r="D5" s="179" t="s">
        <v>81</v>
      </c>
    </row>
    <row r="6" spans="2:4" ht="12.75">
      <c r="B6" s="14"/>
      <c r="C6" s="179" t="s">
        <v>119</v>
      </c>
      <c r="D6" s="179" t="s">
        <v>119</v>
      </c>
    </row>
    <row r="7" spans="2:4" ht="12.75">
      <c r="B7" s="23" t="s">
        <v>155</v>
      </c>
      <c r="C7" s="17">
        <f>'Veeteenused elanikkonnale'!G9</f>
        <v>1.08</v>
      </c>
      <c r="D7" s="17">
        <f>'Veeteenused elanikkonnale'!H9</f>
        <v>1.34</v>
      </c>
    </row>
    <row r="8" spans="2:4" ht="12.75">
      <c r="B8" s="12" t="s">
        <v>25</v>
      </c>
      <c r="C8" s="17">
        <f>'Veeteenused elanikkonnale'!G10</f>
        <v>1.08</v>
      </c>
      <c r="D8" s="17">
        <f>'Veeteenused elanikkonnale'!H10</f>
        <v>1.308</v>
      </c>
    </row>
    <row r="9" spans="2:4" ht="12.75">
      <c r="B9" s="12" t="s">
        <v>111</v>
      </c>
      <c r="C9" s="202">
        <f>'Veeteenused elanikkonnale'!G11</f>
        <v>1.08</v>
      </c>
      <c r="D9" s="202">
        <f>'Veeteenused elanikkonnale'!H11</f>
        <v>0.86</v>
      </c>
    </row>
    <row r="10" spans="2:4" ht="12.75">
      <c r="B10" s="12" t="s">
        <v>156</v>
      </c>
      <c r="C10" s="17">
        <f>'Veeteenused elanikkonnale'!G12</f>
        <v>0.94</v>
      </c>
      <c r="D10" s="17">
        <f>'Veeteenused elanikkonnale'!H12</f>
        <v>1.3</v>
      </c>
    </row>
    <row r="11" spans="2:4" ht="12.75">
      <c r="B11" s="12" t="s">
        <v>95</v>
      </c>
      <c r="C11" s="24">
        <f>'Veeteenused elanikkonnale'!G13</f>
        <v>1.056</v>
      </c>
      <c r="D11" s="24">
        <f>'Veeteenused elanikkonnale'!H13</f>
        <v>1.56</v>
      </c>
    </row>
    <row r="12" spans="2:4" ht="12.75">
      <c r="B12" s="12" t="s">
        <v>27</v>
      </c>
      <c r="C12" s="17">
        <f>'Veeteenused elanikkonnale'!G14</f>
        <v>0.85</v>
      </c>
      <c r="D12" s="17">
        <f>'Veeteenused elanikkonnale'!H14</f>
        <v>1.176</v>
      </c>
    </row>
    <row r="13" spans="2:4" ht="12.75">
      <c r="B13" s="12" t="s">
        <v>29</v>
      </c>
      <c r="C13" s="202">
        <f>'Veeteenused elanikkonnale'!G15</f>
        <v>0.758</v>
      </c>
      <c r="D13" s="202">
        <f>'Veeteenused elanikkonnale'!H15</f>
        <v>0.955</v>
      </c>
    </row>
    <row r="14" spans="2:4" ht="12.75">
      <c r="B14" s="12" t="s">
        <v>26</v>
      </c>
      <c r="C14" s="24">
        <f>'Veeteenused elanikkonnale'!G16</f>
        <v>0.948</v>
      </c>
      <c r="D14" s="24">
        <f>'Veeteenused elanikkonnale'!H16</f>
        <v>1.53</v>
      </c>
    </row>
    <row r="15" spans="2:4" ht="12.75">
      <c r="B15" s="12" t="s">
        <v>31</v>
      </c>
      <c r="C15" s="24">
        <f>'Veeteenused elanikkonnale'!G17</f>
        <v>0.84</v>
      </c>
      <c r="D15" s="24">
        <f>'Veeteenused elanikkonnale'!H17</f>
        <v>1.764</v>
      </c>
    </row>
    <row r="16" spans="2:4" ht="12.75">
      <c r="B16" s="12" t="s">
        <v>41</v>
      </c>
      <c r="C16" s="202">
        <f>'Veeteenused elanikkonnale'!G18</f>
        <v>1.44</v>
      </c>
      <c r="D16" s="202">
        <f>'Veeteenused elanikkonnale'!H18</f>
        <v>1.61</v>
      </c>
    </row>
    <row r="17" spans="2:4" ht="12.75">
      <c r="B17" s="12" t="s">
        <v>33</v>
      </c>
      <c r="C17" s="205">
        <f>'Veeteenused elanikkonnale'!G19</f>
        <v>1.2000000000000002</v>
      </c>
      <c r="D17" s="205">
        <f>'Veeteenused elanikkonnale'!H19</f>
        <v>1.23</v>
      </c>
    </row>
    <row r="18" spans="2:4" ht="12.75">
      <c r="B18" s="12" t="s">
        <v>113</v>
      </c>
      <c r="C18" s="205">
        <f>'Veeteenused elanikkonnale'!G20</f>
        <v>1.54</v>
      </c>
      <c r="D18" s="205">
        <f>'Veeteenused elanikkonnale'!H20</f>
        <v>2.02</v>
      </c>
    </row>
    <row r="19" spans="2:4" ht="12.75">
      <c r="B19" s="12" t="s">
        <v>34</v>
      </c>
      <c r="C19" s="205">
        <f>'Veeteenused elanikkonnale'!G21</f>
        <v>0.9099999999999999</v>
      </c>
      <c r="D19" s="205">
        <f>'Veeteenused elanikkonnale'!H21</f>
        <v>0.87</v>
      </c>
    </row>
    <row r="20" spans="2:4" ht="12.75">
      <c r="B20" s="12" t="s">
        <v>35</v>
      </c>
      <c r="C20" s="24">
        <f>'Veeteenused elanikkonnale'!G22</f>
        <v>1.056</v>
      </c>
      <c r="D20" s="24">
        <f>'Veeteenused elanikkonnale'!H22</f>
        <v>1.968</v>
      </c>
    </row>
    <row r="21" spans="2:4" ht="12.75">
      <c r="B21" s="12" t="s">
        <v>37</v>
      </c>
      <c r="C21" s="205">
        <f>'Veeteenused elanikkonnale'!G23</f>
        <v>1.3199999999999998</v>
      </c>
      <c r="D21" s="205">
        <f>'Veeteenused elanikkonnale'!H23</f>
        <v>2.68</v>
      </c>
    </row>
    <row r="22" spans="2:4" ht="12.75">
      <c r="B22" s="12" t="s">
        <v>157</v>
      </c>
      <c r="C22" s="24">
        <f>'Veeteenused elanikkonnale'!G24</f>
        <v>1.1</v>
      </c>
      <c r="D22" s="24">
        <f>'Veeteenused elanikkonnale'!H24</f>
        <v>1.386</v>
      </c>
    </row>
    <row r="23" spans="2:4" ht="12.75">
      <c r="B23" s="23" t="s">
        <v>39</v>
      </c>
      <c r="C23" s="205">
        <f>'Veeteenused elanikkonnale'!G25</f>
        <v>1.06</v>
      </c>
      <c r="D23" s="205">
        <f>'Veeteenused elanikkonnale'!H25</f>
        <v>1.6300000000000001</v>
      </c>
    </row>
    <row r="24" spans="2:4" ht="12.75">
      <c r="B24" s="12" t="s">
        <v>42</v>
      </c>
      <c r="C24" s="24">
        <f>'Veeteenused elanikkonnale'!G26</f>
        <v>0.96</v>
      </c>
      <c r="D24" s="24">
        <f>'Veeteenused elanikkonnale'!H26</f>
        <v>1.368</v>
      </c>
    </row>
    <row r="25" spans="2:4" ht="12.75">
      <c r="B25" s="12" t="s">
        <v>43</v>
      </c>
      <c r="C25" s="24">
        <f>'Veeteenused elanikkonnale'!G27</f>
        <v>1.128</v>
      </c>
      <c r="D25" s="24">
        <f>'Veeteenused elanikkonnale'!H27</f>
        <v>1.356</v>
      </c>
    </row>
    <row r="26" spans="2:4" ht="12.75">
      <c r="B26" s="12" t="s">
        <v>45</v>
      </c>
      <c r="C26" s="205">
        <f>'Veeteenused elanikkonnale'!G28</f>
        <v>0.89</v>
      </c>
      <c r="D26" s="205">
        <f>'Veeteenused elanikkonnale'!H28</f>
        <v>1.35</v>
      </c>
    </row>
    <row r="27" spans="2:4" ht="12.75">
      <c r="B27" s="12" t="s">
        <v>89</v>
      </c>
      <c r="C27" s="24">
        <f>'Veeteenused elanikkonnale'!G29</f>
        <v>1.07</v>
      </c>
      <c r="D27" s="24">
        <f>'Veeteenused elanikkonnale'!H29</f>
        <v>1.07</v>
      </c>
    </row>
    <row r="28" spans="2:4" ht="12.75">
      <c r="B28" s="12" t="s">
        <v>49</v>
      </c>
      <c r="C28" s="24">
        <f>'Veeteenused elanikkonnale'!G30</f>
        <v>0.83</v>
      </c>
      <c r="D28" s="24">
        <f>'Veeteenused elanikkonnale'!H30</f>
        <v>1.21</v>
      </c>
    </row>
    <row r="29" spans="2:4" ht="12.75">
      <c r="B29" s="12" t="s">
        <v>44</v>
      </c>
      <c r="C29" s="24">
        <f>'Veeteenused elanikkonnale'!G31</f>
        <v>1.14</v>
      </c>
      <c r="D29" s="24">
        <f>'Veeteenused elanikkonnale'!H31</f>
        <v>1.44</v>
      </c>
    </row>
    <row r="30" spans="2:4" ht="12.75">
      <c r="B30" s="12" t="s">
        <v>48</v>
      </c>
      <c r="C30" s="24">
        <f>'Veeteenused elanikkonnale'!G32</f>
        <v>0.63</v>
      </c>
      <c r="D30" s="24">
        <f>'Veeteenused elanikkonnale'!H32</f>
        <v>1.08</v>
      </c>
    </row>
    <row r="31" spans="2:4" ht="12.75">
      <c r="B31" s="23" t="s">
        <v>50</v>
      </c>
      <c r="C31" s="24">
        <f>'Veeteenused elanikkonnale'!G33</f>
        <v>0.89</v>
      </c>
      <c r="D31" s="24">
        <f>'Veeteenused elanikkonnale'!H33</f>
        <v>0.73</v>
      </c>
    </row>
    <row r="32" spans="2:4" ht="12.75">
      <c r="B32" s="12" t="s">
        <v>52</v>
      </c>
      <c r="C32" s="24">
        <f>'Veeteenused elanikkonnale'!G34</f>
        <v>0.85</v>
      </c>
      <c r="D32" s="24">
        <f>'Veeteenused elanikkonnale'!H34</f>
        <v>1.13</v>
      </c>
    </row>
    <row r="33" spans="2:4" ht="12.75">
      <c r="B33" s="12" t="s">
        <v>56</v>
      </c>
      <c r="C33" s="24">
        <f>'Veeteenused elanikkonnale'!G35</f>
        <v>0.83</v>
      </c>
      <c r="D33" s="24">
        <f>'Veeteenused elanikkonnale'!H35</f>
        <v>0.97</v>
      </c>
    </row>
    <row r="34" spans="2:4" ht="12.75">
      <c r="B34" s="12" t="s">
        <v>53</v>
      </c>
      <c r="C34" s="24">
        <f>'Veeteenused elanikkonnale'!G36</f>
        <v>0.92</v>
      </c>
      <c r="D34" s="24">
        <f>'Veeteenused elanikkonnale'!H36</f>
        <v>0.71</v>
      </c>
    </row>
    <row r="35" spans="2:4" ht="12.75">
      <c r="B35" s="12" t="s">
        <v>91</v>
      </c>
      <c r="C35" s="24">
        <f>'Veeteenused elanikkonnale'!G37</f>
        <v>1.07</v>
      </c>
      <c r="D35" s="24">
        <f>'Veeteenused elanikkonnale'!H37</f>
        <v>1.58</v>
      </c>
    </row>
    <row r="36" spans="2:4" ht="12.75">
      <c r="B36" s="12" t="s">
        <v>57</v>
      </c>
      <c r="C36" s="24">
        <f>'Veeteenused elanikkonnale'!G38</f>
        <v>1.152</v>
      </c>
      <c r="D36" s="24">
        <f>'Veeteenused elanikkonnale'!H38</f>
        <v>0.936</v>
      </c>
    </row>
    <row r="37" spans="2:4" ht="12.75">
      <c r="B37" s="12" t="s">
        <v>158</v>
      </c>
      <c r="C37" s="24">
        <f>'Veeteenused elanikkonnale'!G39</f>
        <v>1.07</v>
      </c>
      <c r="D37" s="24">
        <f>'Veeteenused elanikkonnale'!H39</f>
        <v>1.36</v>
      </c>
    </row>
    <row r="38" spans="2:4" ht="12.75">
      <c r="B38" s="12" t="s">
        <v>60</v>
      </c>
      <c r="C38" s="24">
        <f>'Veeteenused elanikkonnale'!G40</f>
        <v>0.7</v>
      </c>
      <c r="D38" s="24">
        <f>'Veeteenused elanikkonnale'!H40</f>
        <v>1.2</v>
      </c>
    </row>
    <row r="39" spans="2:4" ht="12.75">
      <c r="B39" s="12" t="s">
        <v>159</v>
      </c>
      <c r="C39" s="24">
        <f>'Veeteenused elanikkonnale'!G41</f>
        <v>0.84</v>
      </c>
      <c r="D39" s="24">
        <f>'Veeteenused elanikkonnale'!H41</f>
        <v>1.62</v>
      </c>
    </row>
    <row r="40" spans="2:4" ht="12.75">
      <c r="B40" s="12" t="s">
        <v>63</v>
      </c>
      <c r="C40" s="24">
        <f>'Veeteenused elanikkonnale'!G42</f>
        <v>0.96</v>
      </c>
      <c r="D40" s="24">
        <f>'Veeteenused elanikkonnale'!H42</f>
        <v>1.08</v>
      </c>
    </row>
    <row r="41" spans="2:4" ht="12.75">
      <c r="B41" s="12" t="s">
        <v>64</v>
      </c>
      <c r="C41" s="24">
        <f>'Veeteenused elanikkonnale'!G43</f>
        <v>1.21</v>
      </c>
      <c r="D41" s="24">
        <f>'Veeteenused elanikkonnale'!H43</f>
        <v>1.4</v>
      </c>
    </row>
    <row r="42" spans="2:4" ht="12.75">
      <c r="B42" s="12" t="s">
        <v>68</v>
      </c>
      <c r="C42" s="24">
        <f>'Veeteenused elanikkonnale'!G44</f>
        <v>0.93</v>
      </c>
      <c r="D42" s="24">
        <f>'Veeteenused elanikkonnale'!H44</f>
        <v>1.14</v>
      </c>
    </row>
    <row r="43" spans="2:4" ht="12.75">
      <c r="B43" s="12" t="s">
        <v>112</v>
      </c>
      <c r="C43" s="205">
        <f>'Veeteenused elanikkonnale'!G45</f>
        <v>2.44</v>
      </c>
      <c r="D43" s="205">
        <f>'Veeteenused elanikkonnale'!H45</f>
        <v>2.0100000000000002</v>
      </c>
    </row>
    <row r="44" spans="2:4" ht="12.75">
      <c r="B44" s="12" t="s">
        <v>160</v>
      </c>
      <c r="C44" s="205">
        <f>'Veeteenused elanikkonnale'!G46</f>
        <v>1.5899999999999999</v>
      </c>
      <c r="D44" s="205">
        <f>'Veeteenused elanikkonnale'!H46</f>
        <v>2.35</v>
      </c>
    </row>
    <row r="45" spans="2:4" ht="13.5" thickBot="1">
      <c r="B45" s="12" t="s">
        <v>66</v>
      </c>
      <c r="C45" s="24">
        <f>'Veeteenused elanikkonnale'!G47</f>
        <v>0.86</v>
      </c>
      <c r="D45" s="24">
        <f>'Veeteenused elanikkonnale'!H47</f>
        <v>1.13</v>
      </c>
    </row>
    <row r="46" spans="2:4" ht="13.5" thickBot="1">
      <c r="B46" s="18" t="s">
        <v>100</v>
      </c>
      <c r="C46" s="19">
        <f>AVERAGE(C7:C45)</f>
        <v>1.056871794871795</v>
      </c>
      <c r="D46" s="20">
        <f>AVERAGE(D7:D45)</f>
        <v>1.3694102564102564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6"/>
  <sheetViews>
    <sheetView zoomScale="130" zoomScaleNormal="130" zoomScalePageLayoutView="0" workbookViewId="0" topLeftCell="A28">
      <selection activeCell="C43" sqref="C43:D44"/>
    </sheetView>
  </sheetViews>
  <sheetFormatPr defaultColWidth="9.140625" defaultRowHeight="12.75"/>
  <cols>
    <col min="2" max="2" width="22.140625" style="0" customWidth="1"/>
    <col min="3" max="3" width="7.140625" style="0" customWidth="1"/>
    <col min="4" max="4" width="6.57421875" style="0" customWidth="1"/>
  </cols>
  <sheetData>
    <row r="2" spans="1:5" ht="12.75">
      <c r="A2" s="194" t="s">
        <v>96</v>
      </c>
      <c r="B2" s="194"/>
      <c r="C2" s="194"/>
      <c r="D2" s="194"/>
      <c r="E2" s="194"/>
    </row>
    <row r="3" spans="2:3" ht="12.75">
      <c r="B3" s="124" t="s">
        <v>131</v>
      </c>
      <c r="C3" t="s">
        <v>123</v>
      </c>
    </row>
    <row r="5" spans="2:4" ht="12.75">
      <c r="B5" s="21" t="s">
        <v>11</v>
      </c>
      <c r="C5" s="22" t="s">
        <v>75</v>
      </c>
      <c r="D5" s="22" t="s">
        <v>81</v>
      </c>
    </row>
    <row r="6" spans="2:4" ht="12.75">
      <c r="B6" s="22"/>
      <c r="C6" s="21" t="s">
        <v>86</v>
      </c>
      <c r="D6" s="21" t="s">
        <v>86</v>
      </c>
    </row>
    <row r="7" spans="2:4" ht="12.75">
      <c r="B7" s="23" t="s">
        <v>155</v>
      </c>
      <c r="C7" s="17">
        <f>'Veeteenused ettevõtetele'!F8</f>
        <v>1.79</v>
      </c>
      <c r="D7" s="17">
        <f>'Veeteenused ettevõtetele'!G8</f>
        <v>2.328</v>
      </c>
    </row>
    <row r="8" spans="2:4" ht="12.75">
      <c r="B8" s="12" t="s">
        <v>25</v>
      </c>
      <c r="C8" s="17">
        <f>'Veeteenused ettevõtetele'!F9</f>
        <v>1.08</v>
      </c>
      <c r="D8" s="17">
        <f>'Veeteenused ettevõtetele'!G9</f>
        <v>1.308</v>
      </c>
    </row>
    <row r="9" spans="2:4" ht="12.75">
      <c r="B9" s="12" t="s">
        <v>111</v>
      </c>
      <c r="C9" s="17">
        <f>'Veeteenused ettevõtetele'!F10</f>
        <v>0.875</v>
      </c>
      <c r="D9" s="17">
        <f>'Veeteenused ettevõtetele'!G10</f>
        <v>0.7</v>
      </c>
    </row>
    <row r="10" spans="2:4" ht="12.75">
      <c r="B10" s="12" t="s">
        <v>156</v>
      </c>
      <c r="C10" s="17">
        <f>'Veeteenused ettevõtetele'!F11</f>
        <v>1.068</v>
      </c>
      <c r="D10" s="17">
        <f>'Veeteenused ettevõtetele'!G11</f>
        <v>1.428</v>
      </c>
    </row>
    <row r="11" spans="2:4" ht="12.75">
      <c r="B11" s="12" t="s">
        <v>95</v>
      </c>
      <c r="C11" s="17">
        <f>'Veeteenused ettevõtetele'!F12</f>
        <v>1.26</v>
      </c>
      <c r="D11" s="17">
        <f>'Veeteenused ettevõtetele'!G12</f>
        <v>1.86</v>
      </c>
    </row>
    <row r="12" spans="2:4" ht="12.75">
      <c r="B12" s="12" t="s">
        <v>27</v>
      </c>
      <c r="C12" s="17">
        <f>'Veeteenused ettevõtetele'!F13</f>
        <v>0.85</v>
      </c>
      <c r="D12" s="17">
        <f>'Veeteenused ettevõtetele'!G13</f>
        <v>1.7</v>
      </c>
    </row>
    <row r="13" spans="2:4" ht="12.75">
      <c r="B13" s="12" t="s">
        <v>29</v>
      </c>
      <c r="C13" s="205">
        <f>'Veeteenused ettevõtetele'!F14</f>
        <v>1.1179999999999999</v>
      </c>
      <c r="D13" s="205">
        <f>'Veeteenused ettevõtetele'!G14</f>
        <v>1.017</v>
      </c>
    </row>
    <row r="14" spans="2:4" ht="12.75">
      <c r="B14" s="12" t="s">
        <v>26</v>
      </c>
      <c r="C14" s="17">
        <f>'Veeteenused ettevõtetele'!F15</f>
        <v>0.948</v>
      </c>
      <c r="D14" s="17">
        <f>'Veeteenused ettevõtetele'!G15</f>
        <v>1.53</v>
      </c>
    </row>
    <row r="15" spans="2:4" ht="12.75">
      <c r="B15" s="12" t="s">
        <v>31</v>
      </c>
      <c r="C15" s="24">
        <f>'Veeteenused ettevõtetele'!F16</f>
        <v>0.84</v>
      </c>
      <c r="D15" s="24">
        <f>'Veeteenused ettevõtetele'!G16</f>
        <v>1.76</v>
      </c>
    </row>
    <row r="16" spans="2:4" ht="12.75">
      <c r="B16" s="12" t="s">
        <v>41</v>
      </c>
      <c r="C16" s="205">
        <f>'Veeteenused ettevõtetele'!F17</f>
        <v>1.49</v>
      </c>
      <c r="D16" s="205">
        <f>'Veeteenused ettevõtetele'!G17</f>
        <v>1.6500000000000001</v>
      </c>
    </row>
    <row r="17" spans="2:4" ht="12.75">
      <c r="B17" s="12" t="s">
        <v>33</v>
      </c>
      <c r="C17" s="205">
        <f>'Veeteenused ettevõtetele'!F18</f>
        <v>1.1600000000000001</v>
      </c>
      <c r="D17" s="205">
        <f>'Veeteenused ettevõtetele'!G18</f>
        <v>1.1700000000000002</v>
      </c>
    </row>
    <row r="18" spans="2:4" ht="12.75">
      <c r="B18" s="12" t="s">
        <v>113</v>
      </c>
      <c r="C18" s="205">
        <f>'Veeteenused ettevõtetele'!F19</f>
        <v>2.0799999999999996</v>
      </c>
      <c r="D18" s="205">
        <f>'Veeteenused ettevõtetele'!G19</f>
        <v>3.25</v>
      </c>
    </row>
    <row r="19" spans="2:4" ht="12.75">
      <c r="B19" s="12" t="s">
        <v>34</v>
      </c>
      <c r="C19" s="205">
        <f>'Veeteenused ettevõtetele'!F20</f>
        <v>0.85</v>
      </c>
      <c r="D19" s="205">
        <f>'Veeteenused ettevõtetele'!G20</f>
        <v>0.85</v>
      </c>
    </row>
    <row r="20" spans="2:4" ht="12.75">
      <c r="B20" s="12" t="s">
        <v>35</v>
      </c>
      <c r="C20" s="17">
        <f>'Veeteenused ettevõtetele'!F21</f>
        <v>1.27</v>
      </c>
      <c r="D20" s="17">
        <f>'Veeteenused ettevõtetele'!G21</f>
        <v>2.36</v>
      </c>
    </row>
    <row r="21" spans="2:4" ht="12.75">
      <c r="B21" s="12" t="s">
        <v>37</v>
      </c>
      <c r="C21" s="205">
        <f>'Veeteenused ettevõtetele'!F22</f>
        <v>1.33</v>
      </c>
      <c r="D21" s="205">
        <f>'Veeteenused ettevõtetele'!G22</f>
        <v>2.68</v>
      </c>
    </row>
    <row r="22" spans="2:4" ht="12.75">
      <c r="B22" s="12" t="s">
        <v>157</v>
      </c>
      <c r="C22" s="17">
        <f>'Veeteenused ettevõtetele'!F23</f>
        <v>1.27</v>
      </c>
      <c r="D22" s="17">
        <f>'Veeteenused ettevõtetele'!G23</f>
        <v>1.566</v>
      </c>
    </row>
    <row r="23" spans="2:4" ht="12.75">
      <c r="B23" s="23" t="s">
        <v>39</v>
      </c>
      <c r="C23" s="205">
        <f>'Veeteenused ettevõtetele'!F24</f>
        <v>1.23</v>
      </c>
      <c r="D23" s="205">
        <f>'Veeteenused ettevõtetele'!G24</f>
        <v>1.92</v>
      </c>
    </row>
    <row r="24" spans="2:4" ht="12.75">
      <c r="B24" s="12" t="s">
        <v>42</v>
      </c>
      <c r="C24" s="17">
        <f>'Veeteenused ettevõtetele'!F25</f>
        <v>0.96</v>
      </c>
      <c r="D24" s="17">
        <f>'Veeteenused ettevõtetele'!G25</f>
        <v>1.368</v>
      </c>
    </row>
    <row r="25" spans="2:4" ht="12.75">
      <c r="B25" s="12" t="s">
        <v>43</v>
      </c>
      <c r="C25" s="17">
        <f>'Veeteenused ettevõtetele'!F26</f>
        <v>1.128</v>
      </c>
      <c r="D25" s="17">
        <f>'Veeteenused ettevõtetele'!G26</f>
        <v>1.356</v>
      </c>
    </row>
    <row r="26" spans="2:4" ht="12.75">
      <c r="B26" s="12" t="s">
        <v>45</v>
      </c>
      <c r="C26" s="205">
        <f>'Veeteenused ettevõtetele'!F27</f>
        <v>0.99</v>
      </c>
      <c r="D26" s="205">
        <f>'Veeteenused ettevõtetele'!G27</f>
        <v>1.8499999999999999</v>
      </c>
    </row>
    <row r="27" spans="2:4" ht="12.75">
      <c r="B27" s="12" t="s">
        <v>89</v>
      </c>
      <c r="C27" s="17">
        <f>'Veeteenused ettevõtetele'!F28</f>
        <v>1.48</v>
      </c>
      <c r="D27" s="17">
        <f>'Veeteenused ettevõtetele'!G28</f>
        <v>1.48</v>
      </c>
    </row>
    <row r="28" spans="2:4" ht="12.75">
      <c r="B28" s="12" t="s">
        <v>49</v>
      </c>
      <c r="C28" s="17">
        <f>'Veeteenused ettevõtetele'!F29</f>
        <v>0.83</v>
      </c>
      <c r="D28" s="17">
        <f>'Veeteenused ettevõtetele'!G29</f>
        <v>1.21</v>
      </c>
    </row>
    <row r="29" spans="2:4" ht="12.75">
      <c r="B29" s="12" t="s">
        <v>44</v>
      </c>
      <c r="C29" s="17">
        <f>'Veeteenused ettevõtetele'!F30</f>
        <v>1.26</v>
      </c>
      <c r="D29" s="17">
        <f>'Veeteenused ettevõtetele'!G30</f>
        <v>1.62</v>
      </c>
    </row>
    <row r="30" spans="2:4" ht="12.75">
      <c r="B30" s="12" t="s">
        <v>48</v>
      </c>
      <c r="C30" s="17">
        <f>'Veeteenused ettevõtetele'!F31</f>
        <v>0.99</v>
      </c>
      <c r="D30" s="17">
        <f>'Veeteenused ettevõtetele'!G31</f>
        <v>1.29</v>
      </c>
    </row>
    <row r="31" spans="2:4" ht="12.75">
      <c r="B31" s="23" t="s">
        <v>50</v>
      </c>
      <c r="C31" s="17">
        <f>'Veeteenused ettevõtetele'!F32</f>
        <v>0.89</v>
      </c>
      <c r="D31" s="17">
        <f>'Veeteenused ettevõtetele'!G32</f>
        <v>0.74</v>
      </c>
    </row>
    <row r="32" spans="2:4" ht="12.75">
      <c r="B32" s="12" t="s">
        <v>52</v>
      </c>
      <c r="C32" s="17">
        <f>'Veeteenused ettevõtetele'!F33</f>
        <v>0.85</v>
      </c>
      <c r="D32" s="17">
        <f>'Veeteenused ettevõtetele'!G33</f>
        <v>1.13</v>
      </c>
    </row>
    <row r="33" spans="2:4" ht="12.75">
      <c r="B33" s="12" t="s">
        <v>56</v>
      </c>
      <c r="C33" s="17">
        <f>'Veeteenused ettevõtetele'!F34</f>
        <v>1.19</v>
      </c>
      <c r="D33" s="17">
        <f>'Veeteenused ettevõtetele'!G34</f>
        <v>2.14</v>
      </c>
    </row>
    <row r="34" spans="2:4" ht="12.75">
      <c r="B34" s="12" t="s">
        <v>53</v>
      </c>
      <c r="C34" s="17">
        <f>'Veeteenused ettevõtetele'!F35</f>
        <v>1.07</v>
      </c>
      <c r="D34" s="17">
        <f>'Veeteenused ettevõtetele'!G35</f>
        <v>0.9</v>
      </c>
    </row>
    <row r="35" spans="2:4" ht="12.75">
      <c r="B35" s="12" t="s">
        <v>91</v>
      </c>
      <c r="C35" s="17">
        <f>'Veeteenused ettevõtetele'!F36</f>
        <v>2.03</v>
      </c>
      <c r="D35" s="17">
        <f>'Veeteenused ettevõtetele'!G36</f>
        <v>3.04</v>
      </c>
    </row>
    <row r="36" spans="2:4" ht="12.75">
      <c r="B36" s="12" t="s">
        <v>57</v>
      </c>
      <c r="C36" s="17">
        <f>'Veeteenused ettevõtetele'!F37</f>
        <v>2.784</v>
      </c>
      <c r="D36" s="17">
        <f>'Veeteenused ettevõtetele'!G37</f>
        <v>2.064</v>
      </c>
    </row>
    <row r="37" spans="2:4" ht="12.75">
      <c r="B37" s="12" t="s">
        <v>158</v>
      </c>
      <c r="C37" s="17">
        <f>'Veeteenused ettevõtetele'!F38</f>
        <v>1.26</v>
      </c>
      <c r="D37" s="17">
        <f>'Veeteenused ettevõtetele'!G38</f>
        <v>1.6</v>
      </c>
    </row>
    <row r="38" spans="2:4" ht="12.75">
      <c r="B38" s="12" t="s">
        <v>60</v>
      </c>
      <c r="C38" s="17">
        <f>'Veeteenused ettevõtetele'!F39</f>
        <v>0.7</v>
      </c>
      <c r="D38" s="17">
        <f>'Veeteenused ettevõtetele'!G39</f>
        <v>1.2</v>
      </c>
    </row>
    <row r="39" spans="2:4" ht="12.75">
      <c r="B39" s="12" t="s">
        <v>159</v>
      </c>
      <c r="C39" s="17">
        <f>'Veeteenused ettevõtetele'!F40</f>
        <v>0.84</v>
      </c>
      <c r="D39" s="17">
        <f>'Veeteenused ettevõtetele'!G40</f>
        <v>1.62</v>
      </c>
    </row>
    <row r="40" spans="2:4" ht="12.75">
      <c r="B40" s="12" t="s">
        <v>63</v>
      </c>
      <c r="C40" s="17">
        <f>'Veeteenused ettevõtetele'!F41</f>
        <v>1.15</v>
      </c>
      <c r="D40" s="17">
        <f>'Veeteenused ettevõtetele'!G41</f>
        <v>1.26</v>
      </c>
    </row>
    <row r="41" spans="2:4" ht="12.75">
      <c r="B41" s="12" t="s">
        <v>64</v>
      </c>
      <c r="C41" s="24">
        <f>'Veeteenused ettevõtetele'!F42</f>
        <v>1.21</v>
      </c>
      <c r="D41" s="24">
        <f>'Veeteenused ettevõtetele'!G42</f>
        <v>1.4</v>
      </c>
    </row>
    <row r="42" spans="2:4" ht="12.75">
      <c r="B42" s="12" t="s">
        <v>68</v>
      </c>
      <c r="C42" s="17">
        <f>'Veeteenused ettevõtetele'!F43</f>
        <v>0.93</v>
      </c>
      <c r="D42" s="17">
        <f>'Veeteenused ettevõtetele'!G43</f>
        <v>1.14</v>
      </c>
    </row>
    <row r="43" spans="2:4" ht="12.75">
      <c r="B43" s="12" t="s">
        <v>112</v>
      </c>
      <c r="C43" s="205">
        <f>'Veeteenused ettevõtetele'!F44</f>
        <v>1.46</v>
      </c>
      <c r="D43" s="205">
        <f>'Veeteenused ettevõtetele'!G44</f>
        <v>1.82</v>
      </c>
    </row>
    <row r="44" spans="2:4" ht="12.75">
      <c r="B44" s="12" t="s">
        <v>160</v>
      </c>
      <c r="C44" s="205">
        <f>'Veeteenused ettevõtetele'!F45</f>
        <v>2.24</v>
      </c>
      <c r="D44" s="205">
        <f>'Veeteenused ettevõtetele'!G45</f>
        <v>1.94</v>
      </c>
    </row>
    <row r="45" spans="2:4" ht="13.5" thickBot="1">
      <c r="B45" s="12" t="s">
        <v>66</v>
      </c>
      <c r="C45" s="17">
        <f>'Veeteenused ettevõtetele'!F46</f>
        <v>0.86</v>
      </c>
      <c r="D45" s="17">
        <f>'Veeteenused ettevõtetele'!G46</f>
        <v>1.13</v>
      </c>
    </row>
    <row r="46" spans="2:4" ht="13.5" thickBot="1">
      <c r="B46" s="18" t="s">
        <v>100</v>
      </c>
      <c r="C46" s="19">
        <f>AVERAGE(C8:C45)</f>
        <v>1.2058157894736843</v>
      </c>
      <c r="D46" s="20">
        <f>AVERAGE(D8:D45)</f>
        <v>1.5801842105263157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0" zoomScaleNormal="145" zoomScaleSheetLayoutView="90" zoomScalePageLayoutView="0" workbookViewId="0" topLeftCell="A1">
      <pane xSplit="1" topLeftCell="B1" activePane="topRight" state="frozen"/>
      <selection pane="topLeft" activeCell="A1" sqref="A1"/>
      <selection pane="topRight" activeCell="E13" sqref="E13"/>
    </sheetView>
  </sheetViews>
  <sheetFormatPr defaultColWidth="9.140625" defaultRowHeight="12.75"/>
  <cols>
    <col min="1" max="1" width="20.421875" style="6" customWidth="1"/>
    <col min="2" max="2" width="10.8515625" style="6" customWidth="1"/>
    <col min="3" max="3" width="12.28125" style="6" customWidth="1"/>
    <col min="4" max="4" width="10.7109375" style="6" customWidth="1"/>
    <col min="5" max="5" width="11.421875" style="6" customWidth="1"/>
    <col min="6" max="7" width="10.8515625" style="6" customWidth="1"/>
    <col min="8" max="8" width="11.00390625" style="6" customWidth="1"/>
    <col min="9" max="9" width="10.8515625" style="6" customWidth="1"/>
    <col min="10" max="10" width="9.140625" style="6" customWidth="1"/>
    <col min="11" max="11" width="7.57421875" style="6" customWidth="1"/>
    <col min="12" max="12" width="7.140625" style="6" customWidth="1"/>
    <col min="13" max="13" width="9.421875" style="6" customWidth="1"/>
    <col min="14" max="14" width="6.8515625" style="6" customWidth="1"/>
    <col min="15" max="15" width="7.421875" style="6" customWidth="1"/>
    <col min="16" max="16384" width="9.140625" style="6" customWidth="1"/>
  </cols>
  <sheetData>
    <row r="1" spans="1:15" ht="14.25">
      <c r="A1" s="197" t="s">
        <v>174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s="63" customFormat="1" ht="13.5">
      <c r="A2" s="60"/>
      <c r="B2" s="196" t="s">
        <v>124</v>
      </c>
      <c r="C2" s="196"/>
      <c r="D2" s="196"/>
      <c r="E2" s="196"/>
      <c r="F2" s="196" t="s">
        <v>101</v>
      </c>
      <c r="G2" s="196"/>
      <c r="H2" s="196"/>
      <c r="I2" s="196"/>
      <c r="J2" s="198" t="s">
        <v>125</v>
      </c>
      <c r="K2" s="198"/>
      <c r="L2" s="198"/>
      <c r="M2" s="198"/>
      <c r="N2" s="61" t="s">
        <v>102</v>
      </c>
      <c r="O2" s="62"/>
    </row>
    <row r="3" spans="1:15" s="63" customFormat="1" ht="13.5">
      <c r="A3" s="64" t="s">
        <v>103</v>
      </c>
      <c r="B3" s="196" t="s">
        <v>97</v>
      </c>
      <c r="C3" s="196"/>
      <c r="D3" s="196" t="s">
        <v>104</v>
      </c>
      <c r="E3" s="196"/>
      <c r="F3" s="196" t="s">
        <v>97</v>
      </c>
      <c r="G3" s="196"/>
      <c r="H3" s="196" t="s">
        <v>104</v>
      </c>
      <c r="I3" s="196"/>
      <c r="J3" s="196" t="s">
        <v>97</v>
      </c>
      <c r="K3" s="196"/>
      <c r="L3" s="198" t="s">
        <v>104</v>
      </c>
      <c r="M3" s="198"/>
      <c r="N3" s="195" t="s">
        <v>126</v>
      </c>
      <c r="O3" s="195"/>
    </row>
    <row r="4" spans="1:15" s="63" customFormat="1" ht="12.75">
      <c r="A4" s="65"/>
      <c r="B4" s="66" t="s">
        <v>105</v>
      </c>
      <c r="C4" s="66" t="s">
        <v>106</v>
      </c>
      <c r="D4" s="66" t="s">
        <v>107</v>
      </c>
      <c r="E4" s="66" t="s">
        <v>106</v>
      </c>
      <c r="F4" s="66" t="s">
        <v>98</v>
      </c>
      <c r="G4" s="66" t="s">
        <v>106</v>
      </c>
      <c r="H4" s="66" t="s">
        <v>98</v>
      </c>
      <c r="I4" s="66" t="s">
        <v>106</v>
      </c>
      <c r="J4" s="66" t="s">
        <v>98</v>
      </c>
      <c r="K4" s="66" t="s">
        <v>106</v>
      </c>
      <c r="L4" s="66" t="s">
        <v>98</v>
      </c>
      <c r="M4" s="66" t="s">
        <v>106</v>
      </c>
      <c r="N4" s="66" t="s">
        <v>98</v>
      </c>
      <c r="O4" s="66" t="s">
        <v>106</v>
      </c>
    </row>
    <row r="5" spans="1:15" ht="12.75">
      <c r="A5" s="23" t="s">
        <v>155</v>
      </c>
      <c r="B5" s="25">
        <v>165.459</v>
      </c>
      <c r="C5" s="25">
        <v>88.151</v>
      </c>
      <c r="D5" s="25">
        <v>196.502</v>
      </c>
      <c r="E5" s="25">
        <v>98.847</v>
      </c>
      <c r="F5" s="25">
        <v>183.227</v>
      </c>
      <c r="G5" s="25">
        <v>58.103</v>
      </c>
      <c r="H5" s="25">
        <v>175.475</v>
      </c>
      <c r="I5" s="27">
        <v>54.792</v>
      </c>
      <c r="J5" s="25">
        <f>B5/F5</f>
        <v>0.903027392251142</v>
      </c>
      <c r="K5" s="25">
        <f>C5/G5</f>
        <v>1.5171505774228524</v>
      </c>
      <c r="L5" s="25">
        <f>D5/H5</f>
        <v>1.119829035475139</v>
      </c>
      <c r="M5" s="25">
        <f>E5/I5</f>
        <v>1.80404073587385</v>
      </c>
      <c r="N5" s="26">
        <f>J5+L5</f>
        <v>2.022856427726281</v>
      </c>
      <c r="O5" s="26">
        <f>K5+M5</f>
        <v>3.321191313296702</v>
      </c>
    </row>
    <row r="6" spans="1:15" ht="12.75">
      <c r="A6" s="12" t="s">
        <v>25</v>
      </c>
      <c r="B6" s="25">
        <v>156.947</v>
      </c>
      <c r="C6" s="25">
        <v>87.745</v>
      </c>
      <c r="D6" s="25">
        <v>186.606</v>
      </c>
      <c r="E6" s="25">
        <v>123.695</v>
      </c>
      <c r="F6" s="25">
        <v>188.169</v>
      </c>
      <c r="G6" s="25">
        <v>110.15</v>
      </c>
      <c r="H6" s="25">
        <v>177.927</v>
      </c>
      <c r="I6" s="27">
        <v>96.427</v>
      </c>
      <c r="J6" s="25">
        <f aca="true" t="shared" si="0" ref="J6:J43">B6/F6</f>
        <v>0.8340746881792431</v>
      </c>
      <c r="K6" s="25">
        <f aca="true" t="shared" si="1" ref="K6:K43">C6/G6</f>
        <v>0.7965955515206536</v>
      </c>
      <c r="L6" s="25">
        <f aca="true" t="shared" si="2" ref="L6:L43">D6/H6</f>
        <v>1.0487784316039723</v>
      </c>
      <c r="M6" s="25">
        <f aca="true" t="shared" si="3" ref="M6:M43">E6/I6</f>
        <v>1.2827838675889531</v>
      </c>
      <c r="N6" s="26">
        <f aca="true" t="shared" si="4" ref="N6:N43">J6+L6</f>
        <v>1.8828531197832155</v>
      </c>
      <c r="O6" s="26">
        <f aca="true" t="shared" si="5" ref="O6:O43">K6+M6</f>
        <v>2.079379419109607</v>
      </c>
    </row>
    <row r="7" spans="1:15" ht="12.75">
      <c r="A7" s="12" t="s">
        <v>111</v>
      </c>
      <c r="B7" s="25">
        <v>32.2</v>
      </c>
      <c r="C7" s="25">
        <v>0</v>
      </c>
      <c r="D7" s="25">
        <v>25.5</v>
      </c>
      <c r="E7" s="25">
        <v>0</v>
      </c>
      <c r="F7" s="25">
        <v>44.2</v>
      </c>
      <c r="G7" s="25">
        <v>0</v>
      </c>
      <c r="H7" s="25">
        <v>43.3</v>
      </c>
      <c r="I7" s="27">
        <v>0</v>
      </c>
      <c r="J7" s="25">
        <f t="shared" si="0"/>
        <v>0.7285067873303167</v>
      </c>
      <c r="K7" s="25">
        <v>0</v>
      </c>
      <c r="L7" s="25">
        <f t="shared" si="2"/>
        <v>0.5889145496535797</v>
      </c>
      <c r="M7" s="25">
        <v>0</v>
      </c>
      <c r="N7" s="26">
        <f t="shared" si="4"/>
        <v>1.3174213369838963</v>
      </c>
      <c r="O7" s="26">
        <v>0</v>
      </c>
    </row>
    <row r="8" spans="1:15" ht="12.75">
      <c r="A8" s="12" t="s">
        <v>156</v>
      </c>
      <c r="B8" s="25">
        <v>156.682</v>
      </c>
      <c r="C8" s="25">
        <v>67.737</v>
      </c>
      <c r="D8" s="25">
        <v>206.858</v>
      </c>
      <c r="E8" s="25">
        <v>120.453</v>
      </c>
      <c r="F8" s="31">
        <v>196.353</v>
      </c>
      <c r="G8" s="31">
        <v>84.457</v>
      </c>
      <c r="H8" s="31">
        <v>188.448</v>
      </c>
      <c r="I8" s="31">
        <v>78.367</v>
      </c>
      <c r="J8" s="25">
        <f t="shared" si="0"/>
        <v>0.7979608154700971</v>
      </c>
      <c r="K8" s="25">
        <f t="shared" si="1"/>
        <v>0.8020294350971501</v>
      </c>
      <c r="L8" s="25">
        <f t="shared" si="2"/>
        <v>1.0976927322125998</v>
      </c>
      <c r="M8" s="25">
        <f t="shared" si="3"/>
        <v>1.5370372733420954</v>
      </c>
      <c r="N8" s="26">
        <f t="shared" si="4"/>
        <v>1.8956535476826968</v>
      </c>
      <c r="O8" s="26">
        <f t="shared" si="5"/>
        <v>2.3390667084392454</v>
      </c>
    </row>
    <row r="9" spans="1:15" ht="12.75">
      <c r="A9" s="12" t="s">
        <v>95</v>
      </c>
      <c r="B9" s="25">
        <v>19.716</v>
      </c>
      <c r="C9" s="31">
        <v>8.325</v>
      </c>
      <c r="D9" s="31">
        <v>28.814</v>
      </c>
      <c r="E9" s="31">
        <v>10.698</v>
      </c>
      <c r="F9" s="25">
        <v>22.405</v>
      </c>
      <c r="G9" s="30">
        <v>7.929</v>
      </c>
      <c r="H9" s="25">
        <v>22.165</v>
      </c>
      <c r="I9" s="27">
        <v>6.902</v>
      </c>
      <c r="J9" s="25">
        <f t="shared" si="0"/>
        <v>0.8799821468422228</v>
      </c>
      <c r="K9" s="25">
        <v>0</v>
      </c>
      <c r="L9" s="25">
        <f t="shared" si="2"/>
        <v>1.2999774419129257</v>
      </c>
      <c r="M9" s="25">
        <v>0</v>
      </c>
      <c r="N9" s="26">
        <f t="shared" si="4"/>
        <v>2.1799595887551484</v>
      </c>
      <c r="O9" s="26">
        <f t="shared" si="5"/>
        <v>0</v>
      </c>
    </row>
    <row r="10" spans="1:15" ht="12.75">
      <c r="A10" s="12" t="s">
        <v>27</v>
      </c>
      <c r="B10" s="25">
        <v>8.835</v>
      </c>
      <c r="C10" s="25">
        <v>1.518</v>
      </c>
      <c r="D10" s="25">
        <v>14.427</v>
      </c>
      <c r="E10" s="25">
        <v>15.853</v>
      </c>
      <c r="F10" s="31">
        <v>12.444</v>
      </c>
      <c r="G10" s="31">
        <v>2.138</v>
      </c>
      <c r="H10" s="31">
        <v>14.706</v>
      </c>
      <c r="I10" s="31">
        <v>4.528</v>
      </c>
      <c r="J10" s="25">
        <f t="shared" si="0"/>
        <v>0.7099807135969142</v>
      </c>
      <c r="K10" s="25">
        <f t="shared" si="1"/>
        <v>0.7100093545369505</v>
      </c>
      <c r="L10" s="25">
        <f t="shared" si="2"/>
        <v>0.9810281517747859</v>
      </c>
      <c r="M10" s="25">
        <f t="shared" si="3"/>
        <v>3.501104240282686</v>
      </c>
      <c r="N10" s="26">
        <f t="shared" si="4"/>
        <v>1.6910088653717001</v>
      </c>
      <c r="O10" s="26">
        <f t="shared" si="5"/>
        <v>4.211113594819636</v>
      </c>
    </row>
    <row r="11" spans="1:15" ht="12.75">
      <c r="A11" s="12" t="s">
        <v>29</v>
      </c>
      <c r="B11" s="25">
        <v>574.56</v>
      </c>
      <c r="C11" s="25">
        <v>108.014</v>
      </c>
      <c r="D11" s="25">
        <v>653.023</v>
      </c>
      <c r="E11" s="25">
        <v>116.135</v>
      </c>
      <c r="F11" s="25">
        <v>937.736</v>
      </c>
      <c r="G11" s="25">
        <v>146.998</v>
      </c>
      <c r="H11" s="25">
        <v>720.336</v>
      </c>
      <c r="I11" s="31">
        <v>136.886</v>
      </c>
      <c r="J11" s="25">
        <f t="shared" si="0"/>
        <v>0.612709760529616</v>
      </c>
      <c r="K11" s="25">
        <f t="shared" si="1"/>
        <v>0.7347991129131008</v>
      </c>
      <c r="L11" s="25">
        <f t="shared" si="2"/>
        <v>0.9065533306679106</v>
      </c>
      <c r="M11" s="25">
        <f t="shared" si="3"/>
        <v>0.8484067033882209</v>
      </c>
      <c r="N11" s="26">
        <f t="shared" si="4"/>
        <v>1.5192630911975264</v>
      </c>
      <c r="O11" s="26">
        <f t="shared" si="5"/>
        <v>1.5832058163013216</v>
      </c>
    </row>
    <row r="12" spans="1:15" ht="12.75">
      <c r="A12" s="12" t="s">
        <v>26</v>
      </c>
      <c r="B12" s="25">
        <v>48.414</v>
      </c>
      <c r="C12" s="25">
        <v>15.484</v>
      </c>
      <c r="D12" s="25">
        <v>77.713</v>
      </c>
      <c r="E12" s="25">
        <v>25.61</v>
      </c>
      <c r="F12" s="25">
        <v>61.44</v>
      </c>
      <c r="G12" s="25">
        <v>19.65</v>
      </c>
      <c r="H12" s="25">
        <v>60.809</v>
      </c>
      <c r="I12" s="27">
        <v>23.207</v>
      </c>
      <c r="J12" s="25">
        <f t="shared" si="0"/>
        <v>0.7879882812500001</v>
      </c>
      <c r="K12" s="25">
        <f t="shared" si="1"/>
        <v>0.7879898218829517</v>
      </c>
      <c r="L12" s="25">
        <f t="shared" si="2"/>
        <v>1.2779851666694075</v>
      </c>
      <c r="M12" s="25">
        <f t="shared" si="3"/>
        <v>1.1035463437755848</v>
      </c>
      <c r="N12" s="26">
        <f t="shared" si="4"/>
        <v>2.065973447919408</v>
      </c>
      <c r="O12" s="26">
        <f t="shared" si="5"/>
        <v>1.8915361656585366</v>
      </c>
    </row>
    <row r="13" spans="1:15" ht="12.75">
      <c r="A13" s="12" t="s">
        <v>31</v>
      </c>
      <c r="B13" s="25">
        <v>26.081</v>
      </c>
      <c r="C13" s="25">
        <v>9.274</v>
      </c>
      <c r="D13" s="25">
        <v>53.464</v>
      </c>
      <c r="E13" s="25">
        <v>12.865</v>
      </c>
      <c r="F13" s="25">
        <v>37.259</v>
      </c>
      <c r="G13" s="31">
        <v>13.249</v>
      </c>
      <c r="H13" s="25">
        <v>36.37</v>
      </c>
      <c r="I13" s="27">
        <v>8.752</v>
      </c>
      <c r="J13" s="25">
        <f t="shared" si="0"/>
        <v>0.699991948254113</v>
      </c>
      <c r="K13" s="25">
        <f t="shared" si="1"/>
        <v>0.6999773567816439</v>
      </c>
      <c r="L13" s="25">
        <f t="shared" si="2"/>
        <v>1.4700027495188344</v>
      </c>
      <c r="M13" s="25">
        <f t="shared" si="3"/>
        <v>1.4699497257769651</v>
      </c>
      <c r="N13" s="26">
        <f t="shared" si="4"/>
        <v>2.1699946977729474</v>
      </c>
      <c r="O13" s="26">
        <f t="shared" si="5"/>
        <v>2.169927082558609</v>
      </c>
    </row>
    <row r="14" spans="1:15" ht="12.75">
      <c r="A14" s="12" t="s">
        <v>41</v>
      </c>
      <c r="B14" s="25">
        <v>41.791</v>
      </c>
      <c r="C14" s="25">
        <v>20.945</v>
      </c>
      <c r="D14" s="25">
        <v>51.019</v>
      </c>
      <c r="E14" s="25">
        <v>19.03</v>
      </c>
      <c r="F14" s="31">
        <v>43.441</v>
      </c>
      <c r="G14" s="31">
        <v>20.245</v>
      </c>
      <c r="H14" s="31">
        <v>41.95</v>
      </c>
      <c r="I14" s="31">
        <v>15.701</v>
      </c>
      <c r="J14" s="25">
        <f t="shared" si="0"/>
        <v>0.9620174489537532</v>
      </c>
      <c r="K14" s="25">
        <f t="shared" si="1"/>
        <v>1.0345764386268215</v>
      </c>
      <c r="L14" s="25">
        <f t="shared" si="2"/>
        <v>1.2161859356376639</v>
      </c>
      <c r="M14" s="25">
        <f t="shared" si="3"/>
        <v>1.2120247118017962</v>
      </c>
      <c r="N14" s="26">
        <f t="shared" si="4"/>
        <v>2.1782033845914173</v>
      </c>
      <c r="O14" s="26">
        <f t="shared" si="5"/>
        <v>2.2466011504286176</v>
      </c>
    </row>
    <row r="15" spans="1:15" ht="12.75">
      <c r="A15" s="12" t="s">
        <v>33</v>
      </c>
      <c r="B15" s="25">
        <v>101.527</v>
      </c>
      <c r="C15" s="25">
        <v>26.329</v>
      </c>
      <c r="D15" s="25">
        <v>126.337</v>
      </c>
      <c r="E15" s="25">
        <v>55.079</v>
      </c>
      <c r="F15" s="25">
        <v>138.731</v>
      </c>
      <c r="G15" s="31">
        <v>36.241</v>
      </c>
      <c r="H15" s="31">
        <v>135.83</v>
      </c>
      <c r="I15" s="31">
        <v>59.185</v>
      </c>
      <c r="J15" s="25">
        <f t="shared" si="0"/>
        <v>0.7318263401835207</v>
      </c>
      <c r="K15" s="25">
        <f t="shared" si="1"/>
        <v>0.7264976132005188</v>
      </c>
      <c r="L15" s="25">
        <f t="shared" si="2"/>
        <v>0.93011116837223</v>
      </c>
      <c r="M15" s="25">
        <f t="shared" si="3"/>
        <v>0.9306243135929712</v>
      </c>
      <c r="N15" s="26">
        <f t="shared" si="4"/>
        <v>1.6619375085557506</v>
      </c>
      <c r="O15" s="26">
        <f t="shared" si="5"/>
        <v>1.65712192679349</v>
      </c>
    </row>
    <row r="16" spans="1:15" ht="12.75">
      <c r="A16" s="12" t="s">
        <v>113</v>
      </c>
      <c r="B16" s="25">
        <v>52.522</v>
      </c>
      <c r="C16" s="25">
        <v>10.535</v>
      </c>
      <c r="D16" s="25">
        <v>74.412</v>
      </c>
      <c r="E16" s="25">
        <v>11.152</v>
      </c>
      <c r="F16" s="25">
        <v>46.072</v>
      </c>
      <c r="G16" s="31">
        <v>6.271</v>
      </c>
      <c r="H16" s="31">
        <v>44.293</v>
      </c>
      <c r="I16" s="31">
        <v>4.115</v>
      </c>
      <c r="J16" s="25">
        <f t="shared" si="0"/>
        <v>1.1399982635874282</v>
      </c>
      <c r="K16" s="25">
        <f t="shared" si="1"/>
        <v>1.6799553500239197</v>
      </c>
      <c r="L16" s="25">
        <f t="shared" si="2"/>
        <v>1.679994581536586</v>
      </c>
      <c r="M16" s="25">
        <f t="shared" si="3"/>
        <v>2.710085054678007</v>
      </c>
      <c r="N16" s="26">
        <f t="shared" si="4"/>
        <v>2.8199928451240144</v>
      </c>
      <c r="O16" s="26">
        <f t="shared" si="5"/>
        <v>4.390040404701926</v>
      </c>
    </row>
    <row r="17" spans="1:15" ht="12.75">
      <c r="A17" s="12" t="s">
        <v>34</v>
      </c>
      <c r="B17" s="25">
        <v>41.734</v>
      </c>
      <c r="C17" s="25">
        <v>9.174</v>
      </c>
      <c r="D17" s="25">
        <v>65.147</v>
      </c>
      <c r="E17" s="25">
        <v>11.472</v>
      </c>
      <c r="F17" s="31">
        <v>83.559</v>
      </c>
      <c r="G17" s="31">
        <v>34.694</v>
      </c>
      <c r="H17" s="31">
        <v>65.581</v>
      </c>
      <c r="I17" s="31">
        <v>14.608</v>
      </c>
      <c r="J17" s="25">
        <f t="shared" si="0"/>
        <v>0.49945547457485134</v>
      </c>
      <c r="K17" s="25">
        <f t="shared" si="1"/>
        <v>0.26442612555485095</v>
      </c>
      <c r="L17" s="25">
        <f t="shared" si="2"/>
        <v>0.9933822296091857</v>
      </c>
      <c r="M17" s="25">
        <f t="shared" si="3"/>
        <v>0.7853231106243154</v>
      </c>
      <c r="N17" s="26">
        <f t="shared" si="4"/>
        <v>1.492837704184037</v>
      </c>
      <c r="O17" s="26">
        <f t="shared" si="5"/>
        <v>1.0497492361791663</v>
      </c>
    </row>
    <row r="18" spans="1:15" ht="12.75">
      <c r="A18" s="12" t="s">
        <v>35</v>
      </c>
      <c r="B18" s="25">
        <v>36.552</v>
      </c>
      <c r="C18" s="25">
        <v>28.882</v>
      </c>
      <c r="D18" s="25">
        <v>49.287</v>
      </c>
      <c r="E18" s="25">
        <v>54.198</v>
      </c>
      <c r="F18" s="25">
        <v>41.521</v>
      </c>
      <c r="G18" s="25">
        <v>27.252</v>
      </c>
      <c r="H18" s="25">
        <v>29.88</v>
      </c>
      <c r="I18" s="27">
        <v>27.294</v>
      </c>
      <c r="J18" s="25">
        <f t="shared" si="0"/>
        <v>0.8803256183617928</v>
      </c>
      <c r="K18" s="25">
        <f t="shared" si="1"/>
        <v>1.0598121238808162</v>
      </c>
      <c r="L18" s="25">
        <f t="shared" si="2"/>
        <v>1.6494979919678716</v>
      </c>
      <c r="M18" s="25">
        <f t="shared" si="3"/>
        <v>1.9857111453066607</v>
      </c>
      <c r="N18" s="26">
        <f t="shared" si="4"/>
        <v>2.5298236103296645</v>
      </c>
      <c r="O18" s="26">
        <f t="shared" si="5"/>
        <v>3.045523269187477</v>
      </c>
    </row>
    <row r="19" spans="1:17" ht="12.75">
      <c r="A19" s="12" t="s">
        <v>37</v>
      </c>
      <c r="B19" s="25">
        <v>10.665</v>
      </c>
      <c r="C19" s="25">
        <v>49.928</v>
      </c>
      <c r="D19" s="25">
        <v>18.404</v>
      </c>
      <c r="E19" s="25">
        <v>100.555</v>
      </c>
      <c r="F19" s="25">
        <v>10.665</v>
      </c>
      <c r="G19" s="25">
        <v>49.959</v>
      </c>
      <c r="H19" s="25">
        <v>8.848</v>
      </c>
      <c r="I19" s="27">
        <v>48.344</v>
      </c>
      <c r="J19" s="25">
        <f t="shared" si="0"/>
        <v>1</v>
      </c>
      <c r="K19" s="25">
        <f t="shared" si="1"/>
        <v>0.9993794911827698</v>
      </c>
      <c r="L19" s="25">
        <f t="shared" si="2"/>
        <v>2.08001808318264</v>
      </c>
      <c r="M19" s="25">
        <f t="shared" si="3"/>
        <v>2.079989243753103</v>
      </c>
      <c r="N19" s="26">
        <f t="shared" si="4"/>
        <v>3.08001808318264</v>
      </c>
      <c r="O19" s="26">
        <f t="shared" si="5"/>
        <v>3.0793687349358727</v>
      </c>
      <c r="Q19" s="6" t="s">
        <v>90</v>
      </c>
    </row>
    <row r="20" spans="1:15" s="168" customFormat="1" ht="12.75">
      <c r="A20" s="165" t="s">
        <v>157</v>
      </c>
      <c r="B20" s="166"/>
      <c r="C20" s="166"/>
      <c r="D20" s="166"/>
      <c r="E20" s="166"/>
      <c r="F20" s="166"/>
      <c r="G20" s="166"/>
      <c r="H20" s="166"/>
      <c r="I20" s="169"/>
      <c r="J20" s="166"/>
      <c r="K20" s="166"/>
      <c r="L20" s="166"/>
      <c r="M20" s="166"/>
      <c r="N20" s="167"/>
      <c r="O20" s="167"/>
    </row>
    <row r="21" spans="1:15" ht="12.75">
      <c r="A21" s="23" t="s">
        <v>39</v>
      </c>
      <c r="B21" s="25">
        <v>149.649</v>
      </c>
      <c r="C21" s="25">
        <v>115.894</v>
      </c>
      <c r="D21" s="25">
        <v>207.295</v>
      </c>
      <c r="E21" s="25">
        <v>220.948</v>
      </c>
      <c r="F21" s="25">
        <v>206.175</v>
      </c>
      <c r="G21" s="25">
        <v>141.108</v>
      </c>
      <c r="H21" s="25">
        <v>206.349</v>
      </c>
      <c r="I21" s="27">
        <v>190.027</v>
      </c>
      <c r="J21" s="25">
        <f t="shared" si="0"/>
        <v>0.725834849036013</v>
      </c>
      <c r="K21" s="25">
        <f t="shared" si="1"/>
        <v>0.8213141707061258</v>
      </c>
      <c r="L21" s="25">
        <f t="shared" si="2"/>
        <v>1.0045844661229277</v>
      </c>
      <c r="M21" s="25">
        <f t="shared" si="3"/>
        <v>1.1627189820393946</v>
      </c>
      <c r="N21" s="26">
        <f t="shared" si="4"/>
        <v>1.7304193151589407</v>
      </c>
      <c r="O21" s="26">
        <f t="shared" si="5"/>
        <v>1.9840331527455204</v>
      </c>
    </row>
    <row r="22" spans="1:15" ht="12.75">
      <c r="A22" s="12" t="s">
        <v>42</v>
      </c>
      <c r="B22" s="25">
        <v>20.642</v>
      </c>
      <c r="C22" s="25">
        <v>8.492</v>
      </c>
      <c r="D22" s="25">
        <v>26.194</v>
      </c>
      <c r="E22" s="25">
        <v>3.821</v>
      </c>
      <c r="F22" s="25">
        <v>26.172</v>
      </c>
      <c r="G22" s="25">
        <v>9.064</v>
      </c>
      <c r="H22" s="25">
        <v>23.32</v>
      </c>
      <c r="I22" s="27">
        <v>2.619</v>
      </c>
      <c r="J22" s="25">
        <f t="shared" si="0"/>
        <v>0.7887054867797646</v>
      </c>
      <c r="K22" s="25">
        <f t="shared" si="1"/>
        <v>0.9368932038834953</v>
      </c>
      <c r="L22" s="25">
        <f t="shared" si="2"/>
        <v>1.1232418524871355</v>
      </c>
      <c r="M22" s="25">
        <f t="shared" si="3"/>
        <v>1.4589537991599846</v>
      </c>
      <c r="N22" s="26">
        <f t="shared" si="4"/>
        <v>1.9119473392669</v>
      </c>
      <c r="O22" s="26">
        <f t="shared" si="5"/>
        <v>2.39584700304348</v>
      </c>
    </row>
    <row r="23" spans="1:15" ht="12.75">
      <c r="A23" s="173" t="s">
        <v>43</v>
      </c>
      <c r="B23" s="139">
        <v>86.984</v>
      </c>
      <c r="C23" s="139">
        <v>34.037</v>
      </c>
      <c r="D23" s="139">
        <v>89.82</v>
      </c>
      <c r="E23" s="139">
        <v>39.655</v>
      </c>
      <c r="F23" s="139">
        <v>92.451</v>
      </c>
      <c r="G23" s="139">
        <v>24.695</v>
      </c>
      <c r="H23" s="139">
        <v>81.056</v>
      </c>
      <c r="I23" s="140">
        <v>46.926</v>
      </c>
      <c r="J23" s="139">
        <f t="shared" si="0"/>
        <v>0.9408659722447567</v>
      </c>
      <c r="K23" s="139">
        <f t="shared" si="1"/>
        <v>1.378295201457785</v>
      </c>
      <c r="L23" s="139">
        <f t="shared" si="2"/>
        <v>1.1081227793130675</v>
      </c>
      <c r="M23" s="139">
        <f t="shared" si="3"/>
        <v>0.8450539146741678</v>
      </c>
      <c r="N23" s="144">
        <f t="shared" si="4"/>
        <v>2.048988751557824</v>
      </c>
      <c r="O23" s="144">
        <f t="shared" si="5"/>
        <v>2.2233491161319527</v>
      </c>
    </row>
    <row r="24" spans="1:15" s="176" customFormat="1" ht="12.75">
      <c r="A24" s="12" t="s">
        <v>45</v>
      </c>
      <c r="B24" s="141">
        <v>105.123</v>
      </c>
      <c r="C24" s="141">
        <v>54.143</v>
      </c>
      <c r="D24" s="141">
        <v>162.603</v>
      </c>
      <c r="E24" s="141">
        <v>125.877</v>
      </c>
      <c r="F24" s="141">
        <v>138.038</v>
      </c>
      <c r="G24" s="141">
        <v>71.158</v>
      </c>
      <c r="H24" s="141">
        <v>134.188</v>
      </c>
      <c r="I24" s="174">
        <v>74.371</v>
      </c>
      <c r="J24" s="141">
        <f t="shared" si="0"/>
        <v>0.7615511670699372</v>
      </c>
      <c r="K24" s="141">
        <f t="shared" si="1"/>
        <v>0.760884229461199</v>
      </c>
      <c r="L24" s="141">
        <f t="shared" si="2"/>
        <v>1.211755149491758</v>
      </c>
      <c r="M24" s="141">
        <f t="shared" si="3"/>
        <v>1.6925548937085693</v>
      </c>
      <c r="N24" s="175">
        <f t="shared" si="4"/>
        <v>1.973306316561695</v>
      </c>
      <c r="O24" s="175">
        <f t="shared" si="5"/>
        <v>2.453439123169768</v>
      </c>
    </row>
    <row r="25" spans="1:15" ht="12.75">
      <c r="A25" s="170" t="s">
        <v>89</v>
      </c>
      <c r="B25" s="143">
        <v>59.33</v>
      </c>
      <c r="C25" s="143">
        <v>43.316</v>
      </c>
      <c r="D25" s="143">
        <v>57.086</v>
      </c>
      <c r="E25" s="143">
        <v>30.36</v>
      </c>
      <c r="F25" s="143">
        <v>66.663</v>
      </c>
      <c r="G25" s="143">
        <v>33.911</v>
      </c>
      <c r="H25" s="143">
        <v>64.142</v>
      </c>
      <c r="I25" s="171">
        <v>23.557</v>
      </c>
      <c r="J25" s="143">
        <f t="shared" si="0"/>
        <v>0.8899989499422468</v>
      </c>
      <c r="K25" s="143">
        <f t="shared" si="1"/>
        <v>1.2773436348087641</v>
      </c>
      <c r="L25" s="143">
        <f t="shared" si="2"/>
        <v>0.8899940756446635</v>
      </c>
      <c r="M25" s="143">
        <f t="shared" si="3"/>
        <v>1.2887888950205884</v>
      </c>
      <c r="N25" s="172">
        <f t="shared" si="4"/>
        <v>1.7799930255869103</v>
      </c>
      <c r="O25" s="172">
        <f t="shared" si="5"/>
        <v>2.5661325298293525</v>
      </c>
    </row>
    <row r="26" spans="1:15" ht="12.75">
      <c r="A26" s="12" t="s">
        <v>49</v>
      </c>
      <c r="B26" s="25">
        <v>418.486</v>
      </c>
      <c r="C26" s="25">
        <v>312.723</v>
      </c>
      <c r="D26" s="25">
        <v>607.185</v>
      </c>
      <c r="E26" s="25">
        <v>551.124</v>
      </c>
      <c r="F26" s="25">
        <v>595.222</v>
      </c>
      <c r="G26" s="25">
        <v>472.271</v>
      </c>
      <c r="H26" s="25">
        <v>584.109</v>
      </c>
      <c r="I26" s="27">
        <v>540.323</v>
      </c>
      <c r="J26" s="25">
        <f t="shared" si="0"/>
        <v>0.703075491161281</v>
      </c>
      <c r="K26" s="25">
        <f t="shared" si="1"/>
        <v>0.6621685430610814</v>
      </c>
      <c r="L26" s="25">
        <f t="shared" si="2"/>
        <v>1.0395063250181042</v>
      </c>
      <c r="M26" s="25">
        <f t="shared" si="3"/>
        <v>1.019989894933216</v>
      </c>
      <c r="N26" s="26">
        <f t="shared" si="4"/>
        <v>1.7425818161793853</v>
      </c>
      <c r="O26" s="26">
        <f t="shared" si="5"/>
        <v>1.6821584379942975</v>
      </c>
    </row>
    <row r="27" spans="1:17" ht="12.75">
      <c r="A27" s="12" t="s">
        <v>44</v>
      </c>
      <c r="B27" s="25">
        <v>28.924</v>
      </c>
      <c r="C27" s="25">
        <v>11.09</v>
      </c>
      <c r="D27" s="25">
        <v>45.545</v>
      </c>
      <c r="E27" s="25">
        <v>158.89</v>
      </c>
      <c r="F27" s="25">
        <v>35.547</v>
      </c>
      <c r="G27" s="31">
        <v>12.03</v>
      </c>
      <c r="H27" s="25">
        <v>42.034</v>
      </c>
      <c r="I27" s="31">
        <v>108.889</v>
      </c>
      <c r="J27" s="25">
        <f t="shared" si="0"/>
        <v>0.813683292542268</v>
      </c>
      <c r="K27" s="25">
        <f t="shared" si="1"/>
        <v>0.9218620116375728</v>
      </c>
      <c r="L27" s="25">
        <f t="shared" si="2"/>
        <v>1.0835276204976925</v>
      </c>
      <c r="M27" s="25">
        <f t="shared" si="3"/>
        <v>1.4591923885791953</v>
      </c>
      <c r="N27" s="26">
        <f t="shared" si="4"/>
        <v>1.8972109130399604</v>
      </c>
      <c r="O27" s="26">
        <f t="shared" si="5"/>
        <v>2.381054400216768</v>
      </c>
      <c r="Q27" s="6" t="s">
        <v>90</v>
      </c>
    </row>
    <row r="28" spans="1:16" ht="12.75">
      <c r="A28" s="12" t="s">
        <v>48</v>
      </c>
      <c r="B28" s="25">
        <v>46.014</v>
      </c>
      <c r="C28" s="25">
        <v>25.225</v>
      </c>
      <c r="D28" s="25">
        <v>73.313</v>
      </c>
      <c r="E28" s="25">
        <v>131.303</v>
      </c>
      <c r="F28" s="25">
        <v>86.089</v>
      </c>
      <c r="G28" s="25">
        <v>30.647</v>
      </c>
      <c r="H28" s="25">
        <v>82.045</v>
      </c>
      <c r="I28" s="31">
        <v>33.292</v>
      </c>
      <c r="J28" s="25">
        <f t="shared" si="0"/>
        <v>0.5344933731371023</v>
      </c>
      <c r="K28" s="25">
        <f t="shared" si="1"/>
        <v>0.8230821940157276</v>
      </c>
      <c r="L28" s="25">
        <f t="shared" si="2"/>
        <v>0.8935706014991773</v>
      </c>
      <c r="M28" s="25">
        <f t="shared" si="3"/>
        <v>3.9439805358644717</v>
      </c>
      <c r="N28" s="26">
        <f t="shared" si="4"/>
        <v>1.4280639746362795</v>
      </c>
      <c r="O28" s="26">
        <f t="shared" si="5"/>
        <v>4.767062729880199</v>
      </c>
      <c r="P28" s="6" t="s">
        <v>90</v>
      </c>
    </row>
    <row r="29" spans="1:15" ht="12.75">
      <c r="A29" s="23" t="s">
        <v>50</v>
      </c>
      <c r="B29" s="25">
        <v>154.035</v>
      </c>
      <c r="C29" s="25">
        <v>62.073</v>
      </c>
      <c r="D29" s="25">
        <v>127.42</v>
      </c>
      <c r="E29" s="25">
        <v>237.527</v>
      </c>
      <c r="F29" s="25">
        <v>211.092</v>
      </c>
      <c r="G29" s="25">
        <v>83.657</v>
      </c>
      <c r="H29" s="25">
        <v>209.572</v>
      </c>
      <c r="I29" s="31">
        <v>381.606</v>
      </c>
      <c r="J29" s="25">
        <f t="shared" si="0"/>
        <v>0.7297055312375647</v>
      </c>
      <c r="K29" s="25">
        <f t="shared" si="1"/>
        <v>0.7419940949352715</v>
      </c>
      <c r="L29" s="25">
        <f t="shared" si="2"/>
        <v>0.6080010688450748</v>
      </c>
      <c r="M29" s="25">
        <f t="shared" si="3"/>
        <v>0.6224404228445045</v>
      </c>
      <c r="N29" s="26">
        <f t="shared" si="4"/>
        <v>1.3377066000826394</v>
      </c>
      <c r="O29" s="26">
        <f t="shared" si="5"/>
        <v>1.364434517779776</v>
      </c>
    </row>
    <row r="30" spans="1:15" ht="12.75">
      <c r="A30" s="12" t="s">
        <v>52</v>
      </c>
      <c r="B30" s="25">
        <v>62.258</v>
      </c>
      <c r="C30" s="25">
        <v>33.035</v>
      </c>
      <c r="D30" s="25">
        <v>73.558</v>
      </c>
      <c r="E30" s="25">
        <v>41.952</v>
      </c>
      <c r="F30" s="25">
        <v>85.688</v>
      </c>
      <c r="G30" s="25">
        <v>46.167</v>
      </c>
      <c r="H30" s="25">
        <v>80.551</v>
      </c>
      <c r="I30" s="27">
        <v>44.882</v>
      </c>
      <c r="J30" s="25">
        <f t="shared" si="0"/>
        <v>0.7265661469517318</v>
      </c>
      <c r="K30" s="25">
        <f t="shared" si="1"/>
        <v>0.7155544003292394</v>
      </c>
      <c r="L30" s="25">
        <f t="shared" si="2"/>
        <v>0.913185435314273</v>
      </c>
      <c r="M30" s="25">
        <f t="shared" si="3"/>
        <v>0.9347177042021301</v>
      </c>
      <c r="N30" s="26">
        <f t="shared" si="4"/>
        <v>1.6397515822660047</v>
      </c>
      <c r="O30" s="26">
        <f t="shared" si="5"/>
        <v>1.6502721045313695</v>
      </c>
    </row>
    <row r="31" spans="1:15" s="177" customFormat="1" ht="12">
      <c r="A31" s="12" t="s">
        <v>56</v>
      </c>
      <c r="B31" s="25">
        <v>41.826</v>
      </c>
      <c r="C31" s="25">
        <v>41.498</v>
      </c>
      <c r="D31" s="25">
        <v>35.786</v>
      </c>
      <c r="E31" s="25">
        <v>186.103</v>
      </c>
      <c r="F31" s="25">
        <v>60.863</v>
      </c>
      <c r="G31" s="25">
        <v>41.968</v>
      </c>
      <c r="H31" s="25">
        <v>43.922</v>
      </c>
      <c r="I31" s="27">
        <v>104.344</v>
      </c>
      <c r="J31" s="25">
        <f t="shared" si="0"/>
        <v>0.6872155496771437</v>
      </c>
      <c r="K31" s="25">
        <f t="shared" si="1"/>
        <v>0.9888009912314143</v>
      </c>
      <c r="L31" s="25">
        <f t="shared" si="2"/>
        <v>0.8147625335822596</v>
      </c>
      <c r="M31" s="25">
        <f t="shared" si="3"/>
        <v>1.7835524802576097</v>
      </c>
      <c r="N31" s="26">
        <f t="shared" si="4"/>
        <v>1.5019780832594032</v>
      </c>
      <c r="O31" s="26">
        <f t="shared" si="5"/>
        <v>2.772353471489024</v>
      </c>
    </row>
    <row r="32" spans="1:15" s="177" customFormat="1" ht="12">
      <c r="A32" s="12" t="s">
        <v>53</v>
      </c>
      <c r="B32" s="25">
        <v>217.829</v>
      </c>
      <c r="C32" s="25">
        <v>29.091</v>
      </c>
      <c r="D32" s="25">
        <v>166.748</v>
      </c>
      <c r="E32" s="25">
        <v>83.303</v>
      </c>
      <c r="F32" s="25">
        <v>286.276</v>
      </c>
      <c r="G32" s="25">
        <v>32.686</v>
      </c>
      <c r="H32" s="25">
        <v>286.005</v>
      </c>
      <c r="I32" s="27">
        <v>98.64</v>
      </c>
      <c r="J32" s="25">
        <f t="shared" si="0"/>
        <v>0.7609055596696894</v>
      </c>
      <c r="K32" s="25">
        <f t="shared" si="1"/>
        <v>0.8900140733035551</v>
      </c>
      <c r="L32" s="25">
        <f t="shared" si="2"/>
        <v>0.5830247722941906</v>
      </c>
      <c r="M32" s="25">
        <f t="shared" si="3"/>
        <v>0.844515409570154</v>
      </c>
      <c r="N32" s="26">
        <f t="shared" si="4"/>
        <v>1.34393033196388</v>
      </c>
      <c r="O32" s="26">
        <f t="shared" si="5"/>
        <v>1.7345294828737092</v>
      </c>
    </row>
    <row r="33" spans="1:15" s="177" customFormat="1" ht="12">
      <c r="A33" s="12" t="s">
        <v>91</v>
      </c>
      <c r="B33" s="25">
        <v>79.981</v>
      </c>
      <c r="C33" s="25">
        <v>34.105</v>
      </c>
      <c r="D33" s="25">
        <v>112.878</v>
      </c>
      <c r="E33" s="25">
        <v>101.936</v>
      </c>
      <c r="F33" s="25">
        <v>87.771</v>
      </c>
      <c r="G33" s="25">
        <v>22.073</v>
      </c>
      <c r="H33" s="25">
        <v>82.775</v>
      </c>
      <c r="I33" s="27">
        <v>21.063</v>
      </c>
      <c r="J33" s="25">
        <f t="shared" si="0"/>
        <v>0.9112463114240466</v>
      </c>
      <c r="K33" s="25">
        <f t="shared" si="1"/>
        <v>1.545100348842477</v>
      </c>
      <c r="L33" s="25">
        <f t="shared" si="2"/>
        <v>1.363672606463304</v>
      </c>
      <c r="M33" s="25">
        <f t="shared" si="3"/>
        <v>4.83957650856953</v>
      </c>
      <c r="N33" s="26">
        <f t="shared" si="4"/>
        <v>2.2749189178873506</v>
      </c>
      <c r="O33" s="26">
        <f t="shared" si="5"/>
        <v>6.384676857412007</v>
      </c>
    </row>
    <row r="34" spans="1:15" s="177" customFormat="1" ht="12">
      <c r="A34" s="12" t="s">
        <v>57</v>
      </c>
      <c r="B34" s="25">
        <v>6.595</v>
      </c>
      <c r="C34" s="25">
        <v>5.595</v>
      </c>
      <c r="D34" s="25">
        <v>5.395</v>
      </c>
      <c r="E34" s="25">
        <v>7.745</v>
      </c>
      <c r="F34" s="25">
        <v>6.942</v>
      </c>
      <c r="G34" s="25">
        <v>2.637</v>
      </c>
      <c r="H34" s="25">
        <v>6.917</v>
      </c>
      <c r="I34" s="31">
        <v>5.317</v>
      </c>
      <c r="J34" s="25">
        <f t="shared" si="0"/>
        <v>0.9500144050705848</v>
      </c>
      <c r="K34" s="25">
        <f t="shared" si="1"/>
        <v>2.1217292377701935</v>
      </c>
      <c r="L34" s="25">
        <f t="shared" si="2"/>
        <v>0.7799624114500505</v>
      </c>
      <c r="M34" s="25">
        <f t="shared" si="3"/>
        <v>1.4566484859883393</v>
      </c>
      <c r="N34" s="26">
        <f t="shared" si="4"/>
        <v>1.7299768165206353</v>
      </c>
      <c r="O34" s="26">
        <f t="shared" si="5"/>
        <v>3.578377723758533</v>
      </c>
    </row>
    <row r="35" spans="1:15" s="177" customFormat="1" ht="12">
      <c r="A35" s="12" t="s">
        <v>158</v>
      </c>
      <c r="B35" s="25">
        <v>57.606</v>
      </c>
      <c r="C35" s="25">
        <v>45.932</v>
      </c>
      <c r="D35" s="25">
        <v>45.932</v>
      </c>
      <c r="E35" s="25">
        <v>57.317</v>
      </c>
      <c r="F35" s="139">
        <v>64.581</v>
      </c>
      <c r="G35" s="139">
        <v>43.745</v>
      </c>
      <c r="H35" s="139">
        <v>55.496</v>
      </c>
      <c r="I35" s="140">
        <v>43.258</v>
      </c>
      <c r="J35" s="139">
        <f t="shared" si="0"/>
        <v>0.8919960979235378</v>
      </c>
      <c r="K35" s="25">
        <f t="shared" si="1"/>
        <v>1.04999428506115</v>
      </c>
      <c r="L35" s="25">
        <f t="shared" si="2"/>
        <v>0.8276632550093701</v>
      </c>
      <c r="M35" s="25">
        <f t="shared" si="3"/>
        <v>1.3250034675666928</v>
      </c>
      <c r="N35" s="26">
        <f t="shared" si="4"/>
        <v>1.7196593529329078</v>
      </c>
      <c r="O35" s="26">
        <f t="shared" si="5"/>
        <v>2.3749977526278427</v>
      </c>
    </row>
    <row r="36" spans="1:15" s="177" customFormat="1" ht="12">
      <c r="A36" s="12" t="s">
        <v>60</v>
      </c>
      <c r="B36" s="25">
        <v>848.093</v>
      </c>
      <c r="C36" s="25">
        <v>409.173</v>
      </c>
      <c r="D36" s="25">
        <v>1468.75</v>
      </c>
      <c r="E36" s="27">
        <v>1237.685</v>
      </c>
      <c r="F36" s="141">
        <v>1462.021</v>
      </c>
      <c r="G36" s="141">
        <v>705.471</v>
      </c>
      <c r="H36" s="141">
        <v>1468.616</v>
      </c>
      <c r="I36" s="141">
        <v>926.461</v>
      </c>
      <c r="J36" s="141">
        <f t="shared" si="0"/>
        <v>0.5800826390318606</v>
      </c>
      <c r="K36" s="142">
        <f t="shared" si="1"/>
        <v>0.5799997448513121</v>
      </c>
      <c r="L36" s="25">
        <f t="shared" si="2"/>
        <v>1.0000912423669632</v>
      </c>
      <c r="M36" s="25">
        <f t="shared" si="3"/>
        <v>1.3359277940463763</v>
      </c>
      <c r="N36" s="26">
        <f t="shared" si="4"/>
        <v>1.580173881398824</v>
      </c>
      <c r="O36" s="26">
        <f t="shared" si="5"/>
        <v>1.9159275388976884</v>
      </c>
    </row>
    <row r="37" spans="1:15" s="177" customFormat="1" ht="12">
      <c r="A37" s="12" t="s">
        <v>159</v>
      </c>
      <c r="B37" s="25">
        <v>13.979</v>
      </c>
      <c r="C37" s="25">
        <v>3.662</v>
      </c>
      <c r="D37" s="25">
        <v>25.605</v>
      </c>
      <c r="E37" s="27">
        <v>7.398</v>
      </c>
      <c r="F37" s="141">
        <v>19.856</v>
      </c>
      <c r="G37" s="141">
        <v>5.202</v>
      </c>
      <c r="H37" s="141">
        <v>18.91</v>
      </c>
      <c r="I37" s="141">
        <v>5.464</v>
      </c>
      <c r="J37" s="141">
        <f t="shared" si="0"/>
        <v>0.7040189363416599</v>
      </c>
      <c r="K37" s="142">
        <f t="shared" si="1"/>
        <v>0.7039600153787005</v>
      </c>
      <c r="L37" s="25">
        <f t="shared" si="2"/>
        <v>1.3540454785827605</v>
      </c>
      <c r="M37" s="25">
        <f t="shared" si="3"/>
        <v>1.353953147877013</v>
      </c>
      <c r="N37" s="26">
        <f t="shared" si="4"/>
        <v>2.0580644149244205</v>
      </c>
      <c r="O37" s="26">
        <f t="shared" si="5"/>
        <v>2.0579131632557135</v>
      </c>
    </row>
    <row r="38" spans="1:15" s="177" customFormat="1" ht="12">
      <c r="A38" s="12" t="s">
        <v>63</v>
      </c>
      <c r="B38" s="25">
        <v>43.868</v>
      </c>
      <c r="C38" s="25">
        <v>21.149</v>
      </c>
      <c r="D38" s="25">
        <v>80.121</v>
      </c>
      <c r="E38" s="27">
        <v>41.892</v>
      </c>
      <c r="F38" s="141">
        <v>70.693</v>
      </c>
      <c r="G38" s="141">
        <v>25.618</v>
      </c>
      <c r="H38" s="141">
        <v>76.817</v>
      </c>
      <c r="I38" s="141">
        <v>36.886</v>
      </c>
      <c r="J38" s="141">
        <f t="shared" si="0"/>
        <v>0.620542345069526</v>
      </c>
      <c r="K38" s="142">
        <f t="shared" si="1"/>
        <v>0.8255523460067141</v>
      </c>
      <c r="L38" s="25">
        <f t="shared" si="2"/>
        <v>1.0430113126000755</v>
      </c>
      <c r="M38" s="25">
        <f t="shared" si="3"/>
        <v>1.1357154475952935</v>
      </c>
      <c r="N38" s="26">
        <f t="shared" si="4"/>
        <v>1.6635536576696015</v>
      </c>
      <c r="O38" s="26">
        <f t="shared" si="5"/>
        <v>1.9612677936020075</v>
      </c>
    </row>
    <row r="39" spans="1:15" s="177" customFormat="1" ht="12">
      <c r="A39" s="12" t="s">
        <v>64</v>
      </c>
      <c r="B39" s="139">
        <v>122.268</v>
      </c>
      <c r="C39" s="139">
        <v>40.349</v>
      </c>
      <c r="D39" s="139">
        <v>140.66</v>
      </c>
      <c r="E39" s="139">
        <v>59.273</v>
      </c>
      <c r="F39" s="30">
        <v>121.157</v>
      </c>
      <c r="G39" s="30">
        <v>40.01</v>
      </c>
      <c r="H39" s="30">
        <v>119.662</v>
      </c>
      <c r="I39" s="31">
        <v>50.45</v>
      </c>
      <c r="J39" s="143">
        <f t="shared" si="0"/>
        <v>1.0091699200211297</v>
      </c>
      <c r="K39" s="25">
        <f t="shared" si="1"/>
        <v>1.0084728817795552</v>
      </c>
      <c r="L39" s="25">
        <f t="shared" si="2"/>
        <v>1.1754775952265548</v>
      </c>
      <c r="M39" s="25">
        <f t="shared" si="3"/>
        <v>1.1748860257680873</v>
      </c>
      <c r="N39" s="26">
        <f t="shared" si="4"/>
        <v>2.1846475152476845</v>
      </c>
      <c r="O39" s="26">
        <f t="shared" si="5"/>
        <v>2.1833589075476425</v>
      </c>
    </row>
    <row r="40" spans="1:15" s="177" customFormat="1" ht="12">
      <c r="A40" s="12" t="s">
        <v>68</v>
      </c>
      <c r="B40" s="139">
        <v>18.4</v>
      </c>
      <c r="C40" s="139">
        <v>5.545</v>
      </c>
      <c r="D40" s="139">
        <v>22.015</v>
      </c>
      <c r="E40" s="139">
        <v>11.725</v>
      </c>
      <c r="F40" s="139">
        <v>23.918</v>
      </c>
      <c r="G40" s="31">
        <v>7.173</v>
      </c>
      <c r="H40" s="139">
        <v>23.125</v>
      </c>
      <c r="I40" s="139">
        <v>12.316</v>
      </c>
      <c r="J40" s="25">
        <f t="shared" si="0"/>
        <v>0.7692950915628397</v>
      </c>
      <c r="K40" s="25">
        <f t="shared" si="1"/>
        <v>0.7730377805660115</v>
      </c>
      <c r="L40" s="25">
        <f t="shared" si="2"/>
        <v>0.9520000000000001</v>
      </c>
      <c r="M40" s="25">
        <f t="shared" si="3"/>
        <v>0.952013640792465</v>
      </c>
      <c r="N40" s="26">
        <f t="shared" si="4"/>
        <v>1.7212950915628398</v>
      </c>
      <c r="O40" s="26">
        <f t="shared" si="5"/>
        <v>1.7250514213584764</v>
      </c>
    </row>
    <row r="41" spans="1:15" s="177" customFormat="1" ht="12">
      <c r="A41" s="12" t="s">
        <v>112</v>
      </c>
      <c r="B41" s="141">
        <v>6.12</v>
      </c>
      <c r="C41" s="141">
        <v>1.172</v>
      </c>
      <c r="D41" s="141">
        <v>3.57</v>
      </c>
      <c r="E41" s="141">
        <v>3.664</v>
      </c>
      <c r="F41" s="141">
        <v>7.374</v>
      </c>
      <c r="G41" s="141">
        <v>1.412</v>
      </c>
      <c r="H41" s="141">
        <v>2.396</v>
      </c>
      <c r="I41" s="141">
        <v>2.459</v>
      </c>
      <c r="J41" s="25">
        <f t="shared" si="0"/>
        <v>0.8299430431244915</v>
      </c>
      <c r="K41" s="25">
        <f t="shared" si="1"/>
        <v>0.830028328611898</v>
      </c>
      <c r="L41" s="25">
        <f t="shared" si="2"/>
        <v>1.489983305509182</v>
      </c>
      <c r="M41" s="25">
        <f t="shared" si="3"/>
        <v>1.4900366002440015</v>
      </c>
      <c r="N41" s="26">
        <f t="shared" si="4"/>
        <v>2.3199263486336736</v>
      </c>
      <c r="O41" s="26">
        <f t="shared" si="5"/>
        <v>2.3200649288558997</v>
      </c>
    </row>
    <row r="42" spans="1:15" s="177" customFormat="1" ht="12">
      <c r="A42" s="12" t="s">
        <v>160</v>
      </c>
      <c r="B42" s="141">
        <v>302.827</v>
      </c>
      <c r="C42" s="141">
        <v>117.151</v>
      </c>
      <c r="D42" s="141">
        <v>402.678</v>
      </c>
      <c r="E42" s="141">
        <v>183.81</v>
      </c>
      <c r="F42" s="141">
        <v>249.555</v>
      </c>
      <c r="G42" s="141">
        <v>68.082</v>
      </c>
      <c r="H42" s="141">
        <v>205.061</v>
      </c>
      <c r="I42" s="141">
        <v>113.412</v>
      </c>
      <c r="J42" s="25">
        <f t="shared" si="0"/>
        <v>1.2134679729919255</v>
      </c>
      <c r="K42" s="25">
        <f t="shared" si="1"/>
        <v>1.7207338209805823</v>
      </c>
      <c r="L42" s="25">
        <f t="shared" si="2"/>
        <v>1.9636986067560385</v>
      </c>
      <c r="M42" s="25">
        <f t="shared" si="3"/>
        <v>1.6207279652946778</v>
      </c>
      <c r="N42" s="26">
        <f t="shared" si="4"/>
        <v>3.177166579747964</v>
      </c>
      <c r="O42" s="26">
        <f t="shared" si="5"/>
        <v>3.34146178627526</v>
      </c>
    </row>
    <row r="43" spans="1:15" s="177" customFormat="1" ht="12.75" thickBot="1">
      <c r="A43" s="12" t="s">
        <v>66</v>
      </c>
      <c r="B43" s="178">
        <v>178.519</v>
      </c>
      <c r="C43" s="178">
        <v>66.901</v>
      </c>
      <c r="D43" s="178">
        <v>235.85</v>
      </c>
      <c r="E43" s="178">
        <v>200.676</v>
      </c>
      <c r="F43" s="178">
        <v>247.943</v>
      </c>
      <c r="G43" s="178">
        <v>93.381</v>
      </c>
      <c r="H43" s="178">
        <v>250.904</v>
      </c>
      <c r="I43" s="178">
        <v>170.281</v>
      </c>
      <c r="J43" s="139">
        <f t="shared" si="0"/>
        <v>0.7200001613274019</v>
      </c>
      <c r="K43" s="139">
        <f t="shared" si="1"/>
        <v>0.7164305372613272</v>
      </c>
      <c r="L43" s="139">
        <f t="shared" si="2"/>
        <v>0.9400009565411472</v>
      </c>
      <c r="M43" s="139">
        <f t="shared" si="3"/>
        <v>1.17849906918564</v>
      </c>
      <c r="N43" s="144">
        <f t="shared" si="4"/>
        <v>1.660001117868549</v>
      </c>
      <c r="O43" s="144">
        <f t="shared" si="5"/>
        <v>1.8949296064469672</v>
      </c>
    </row>
    <row r="44" spans="1:15" ht="13.5" thickBot="1">
      <c r="A44" s="18" t="s">
        <v>127</v>
      </c>
      <c r="B44" s="125">
        <f>SUM(B5:B43)</f>
        <v>4543.040999999999</v>
      </c>
      <c r="C44" s="125">
        <f aca="true" t="shared" si="6" ref="C44:I44">SUM(C5:C43)</f>
        <v>2053.392</v>
      </c>
      <c r="D44" s="125">
        <f t="shared" si="6"/>
        <v>6043.52</v>
      </c>
      <c r="E44" s="125">
        <f t="shared" si="6"/>
        <v>4499.626</v>
      </c>
      <c r="F44" s="125">
        <f t="shared" si="6"/>
        <v>6299.309</v>
      </c>
      <c r="G44" s="125">
        <f t="shared" si="6"/>
        <v>2631.5019999999995</v>
      </c>
      <c r="H44" s="125">
        <f t="shared" si="6"/>
        <v>5913.889999999999</v>
      </c>
      <c r="I44" s="125">
        <f t="shared" si="6"/>
        <v>3615.950999999999</v>
      </c>
      <c r="J44" s="128"/>
      <c r="K44" s="128"/>
      <c r="L44" s="128"/>
      <c r="M44" s="128"/>
      <c r="N44" s="128"/>
      <c r="O44" s="129"/>
    </row>
    <row r="45" spans="1:15" ht="13.5" thickBot="1">
      <c r="A45" s="67" t="s">
        <v>128</v>
      </c>
      <c r="B45" s="130"/>
      <c r="C45" s="130"/>
      <c r="D45" s="130"/>
      <c r="E45" s="130"/>
      <c r="F45" s="130"/>
      <c r="G45" s="130"/>
      <c r="H45" s="130"/>
      <c r="I45" s="130"/>
      <c r="J45" s="126">
        <f aca="true" t="shared" si="7" ref="J45:O45">SUM(J5:J43)/29</f>
        <v>1.0493180680242593</v>
      </c>
      <c r="K45" s="126">
        <f t="shared" si="7"/>
        <v>1.1933256699505568</v>
      </c>
      <c r="L45" s="126">
        <f t="shared" si="7"/>
        <v>1.465615001048659</v>
      </c>
      <c r="M45" s="126">
        <f t="shared" si="7"/>
        <v>1.9368991015023214</v>
      </c>
      <c r="N45" s="126">
        <f t="shared" si="7"/>
        <v>2.5149330690729177</v>
      </c>
      <c r="O45" s="127">
        <f t="shared" si="7"/>
        <v>3.1302247714528786</v>
      </c>
    </row>
    <row r="46" ht="12.75"/>
    <row r="47" ht="12.75">
      <c r="B47" s="43"/>
    </row>
    <row r="48" spans="1:3" s="164" customFormat="1" ht="12.75">
      <c r="A48" s="180" t="s">
        <v>135</v>
      </c>
      <c r="B48" s="180"/>
      <c r="C48" s="180"/>
    </row>
    <row r="49" spans="1:3" s="164" customFormat="1" ht="12.75">
      <c r="A49" s="181" t="s">
        <v>170</v>
      </c>
      <c r="B49" s="182"/>
      <c r="C49" s="180"/>
    </row>
    <row r="50" spans="1:2" s="164" customFormat="1" ht="12.75">
      <c r="A50" s="181" t="s">
        <v>171</v>
      </c>
      <c r="B50" s="182"/>
    </row>
    <row r="51" spans="1:2" s="164" customFormat="1" ht="12.75">
      <c r="A51" s="181" t="s">
        <v>172</v>
      </c>
      <c r="B51" s="182"/>
    </row>
    <row r="52" spans="1:2" s="164" customFormat="1" ht="12.75">
      <c r="A52" s="181"/>
      <c r="B52" s="182"/>
    </row>
  </sheetData>
  <sheetProtection selectLockedCells="1" selectUnlockedCells="1"/>
  <mergeCells count="11">
    <mergeCell ref="A1:O1"/>
    <mergeCell ref="B2:E2"/>
    <mergeCell ref="F2:I2"/>
    <mergeCell ref="J2:M2"/>
    <mergeCell ref="L3:M3"/>
    <mergeCell ref="N3:O3"/>
    <mergeCell ref="B3:C3"/>
    <mergeCell ref="D3:E3"/>
    <mergeCell ref="F3:G3"/>
    <mergeCell ref="H3:I3"/>
    <mergeCell ref="J3:K3"/>
  </mergeCells>
  <printOptions/>
  <pageMargins left="0.7479166666666667" right="0.39375" top="0.9840277777777777" bottom="0.9840277777777777" header="0.5118055555555555" footer="0.5118055555555555"/>
  <pageSetup horizontalDpi="600" verticalDpi="600" orientation="landscape" paperSize="9" scale="80" r:id="rId3"/>
  <colBreaks count="1" manualBreakCount="1">
    <brk id="1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D43"/>
  <sheetViews>
    <sheetView zoomScale="85" zoomScaleNormal="85" zoomScalePageLayoutView="0" workbookViewId="0" topLeftCell="A2">
      <selection activeCell="D32" sqref="D32"/>
    </sheetView>
  </sheetViews>
  <sheetFormatPr defaultColWidth="9.140625" defaultRowHeight="12.75"/>
  <cols>
    <col min="2" max="2" width="19.421875" style="0" customWidth="1"/>
  </cols>
  <sheetData>
    <row r="2" ht="12.75">
      <c r="B2" t="s">
        <v>129</v>
      </c>
    </row>
    <row r="3" spans="2:4" ht="12.75">
      <c r="B3" s="29"/>
      <c r="C3" s="29" t="s">
        <v>107</v>
      </c>
      <c r="D3" s="29" t="s">
        <v>99</v>
      </c>
    </row>
    <row r="4" spans="2:4" ht="12.75">
      <c r="B4" s="23" t="s">
        <v>155</v>
      </c>
      <c r="C4" s="32">
        <f>Müügitulu!N5</f>
        <v>2.022856427726281</v>
      </c>
      <c r="D4" s="32">
        <f>Müügitulu!O5</f>
        <v>3.321191313296702</v>
      </c>
    </row>
    <row r="5" spans="2:4" ht="12.75">
      <c r="B5" s="12" t="s">
        <v>25</v>
      </c>
      <c r="C5" s="32">
        <f>Müügitulu!N6</f>
        <v>1.8828531197832155</v>
      </c>
      <c r="D5" s="32">
        <f>Müügitulu!O6</f>
        <v>2.079379419109607</v>
      </c>
    </row>
    <row r="6" spans="2:4" ht="12.75">
      <c r="B6" s="12" t="s">
        <v>111</v>
      </c>
      <c r="C6" s="32">
        <f>Müügitulu!N7</f>
        <v>1.3174213369838963</v>
      </c>
      <c r="D6" s="32">
        <f>Müügitulu!O7</f>
        <v>0</v>
      </c>
    </row>
    <row r="7" spans="2:4" ht="12.75">
      <c r="B7" s="12" t="s">
        <v>156</v>
      </c>
      <c r="C7" s="32">
        <f>Müügitulu!N8</f>
        <v>1.8956535476826968</v>
      </c>
      <c r="D7" s="32">
        <f>Müügitulu!O8</f>
        <v>2.3390667084392454</v>
      </c>
    </row>
    <row r="8" spans="2:4" ht="12.75">
      <c r="B8" s="12" t="s">
        <v>95</v>
      </c>
      <c r="C8" s="32">
        <f>Müügitulu!N9</f>
        <v>2.1799595887551484</v>
      </c>
      <c r="D8" s="32">
        <f>Müügitulu!O9</f>
        <v>0</v>
      </c>
    </row>
    <row r="9" spans="2:4" ht="12.75">
      <c r="B9" s="12" t="s">
        <v>27</v>
      </c>
      <c r="C9" s="32">
        <f>Müügitulu!N10</f>
        <v>1.6910088653717001</v>
      </c>
      <c r="D9" s="32">
        <f>Müügitulu!O10</f>
        <v>4.211113594819636</v>
      </c>
    </row>
    <row r="10" spans="2:4" ht="12.75">
      <c r="B10" s="12" t="s">
        <v>29</v>
      </c>
      <c r="C10" s="32">
        <f>Müügitulu!N11</f>
        <v>1.5192630911975264</v>
      </c>
      <c r="D10" s="32">
        <f>Müügitulu!O11</f>
        <v>1.5832058163013216</v>
      </c>
    </row>
    <row r="11" spans="2:4" ht="12.75">
      <c r="B11" s="12" t="s">
        <v>26</v>
      </c>
      <c r="C11" s="32">
        <f>Müügitulu!N12</f>
        <v>2.065973447919408</v>
      </c>
      <c r="D11" s="32">
        <f>Müügitulu!O12</f>
        <v>1.8915361656585366</v>
      </c>
    </row>
    <row r="12" spans="2:4" ht="12.75">
      <c r="B12" s="12" t="s">
        <v>31</v>
      </c>
      <c r="C12" s="32">
        <f>Müügitulu!N13</f>
        <v>2.1699946977729474</v>
      </c>
      <c r="D12" s="32">
        <f>Müügitulu!O13</f>
        <v>2.169927082558609</v>
      </c>
    </row>
    <row r="13" spans="2:4" ht="12.75">
      <c r="B13" s="12" t="s">
        <v>41</v>
      </c>
      <c r="C13" s="32">
        <f>Müügitulu!N14</f>
        <v>2.1782033845914173</v>
      </c>
      <c r="D13" s="32">
        <f>Müügitulu!O14</f>
        <v>2.2466011504286176</v>
      </c>
    </row>
    <row r="14" spans="2:4" ht="12.75">
      <c r="B14" s="12" t="s">
        <v>33</v>
      </c>
      <c r="C14" s="32">
        <f>Müügitulu!N15</f>
        <v>1.6619375085557506</v>
      </c>
      <c r="D14" s="32">
        <f>Müügitulu!O15</f>
        <v>1.65712192679349</v>
      </c>
    </row>
    <row r="15" spans="2:4" ht="12.75">
      <c r="B15" s="12" t="s">
        <v>113</v>
      </c>
      <c r="C15" s="32">
        <f>Müügitulu!N16</f>
        <v>2.8199928451240144</v>
      </c>
      <c r="D15" s="32">
        <f>Müügitulu!O16</f>
        <v>4.390040404701926</v>
      </c>
    </row>
    <row r="16" spans="2:4" ht="12.75">
      <c r="B16" s="12" t="s">
        <v>34</v>
      </c>
      <c r="C16" s="32">
        <f>Müügitulu!N17</f>
        <v>1.492837704184037</v>
      </c>
      <c r="D16" s="32">
        <f>Müügitulu!O17</f>
        <v>1.0497492361791663</v>
      </c>
    </row>
    <row r="17" spans="2:4" ht="12.75">
      <c r="B17" s="12" t="s">
        <v>35</v>
      </c>
      <c r="C17" s="32">
        <f>Müügitulu!N18</f>
        <v>2.5298236103296645</v>
      </c>
      <c r="D17" s="32">
        <f>Müügitulu!O18</f>
        <v>3.045523269187477</v>
      </c>
    </row>
    <row r="18" spans="2:4" ht="12.75">
      <c r="B18" s="12" t="s">
        <v>37</v>
      </c>
      <c r="C18" s="32">
        <f>Müügitulu!N19</f>
        <v>3.08001808318264</v>
      </c>
      <c r="D18" s="32">
        <f>Müügitulu!O19</f>
        <v>3.0793687349358727</v>
      </c>
    </row>
    <row r="19" spans="2:4" ht="12.75">
      <c r="B19" s="12" t="s">
        <v>157</v>
      </c>
      <c r="C19" s="32">
        <f>Müügitulu!N20</f>
        <v>0</v>
      </c>
      <c r="D19" s="32">
        <f>Müügitulu!O20</f>
        <v>0</v>
      </c>
    </row>
    <row r="20" spans="2:4" ht="12.75">
      <c r="B20" s="23" t="s">
        <v>39</v>
      </c>
      <c r="C20" s="32">
        <f>Müügitulu!N21</f>
        <v>1.7304193151589407</v>
      </c>
      <c r="D20" s="32">
        <f>Müügitulu!O21</f>
        <v>1.9840331527455204</v>
      </c>
    </row>
    <row r="21" spans="2:4" ht="12.75">
      <c r="B21" s="12" t="s">
        <v>42</v>
      </c>
      <c r="C21" s="146">
        <f>Müügitulu!N22</f>
        <v>1.9119473392669</v>
      </c>
      <c r="D21" s="146">
        <f>Müügitulu!O22</f>
        <v>2.39584700304348</v>
      </c>
    </row>
    <row r="22" spans="2:4" ht="12.75">
      <c r="B22" s="12" t="s">
        <v>43</v>
      </c>
      <c r="C22" s="32">
        <f>Müügitulu!N23</f>
        <v>2.048988751557824</v>
      </c>
      <c r="D22" s="32">
        <f>Müügitulu!O23</f>
        <v>2.2233491161319527</v>
      </c>
    </row>
    <row r="23" spans="2:4" ht="12.75">
      <c r="B23" s="12" t="s">
        <v>45</v>
      </c>
      <c r="C23" s="32">
        <f>Müügitulu!N24</f>
        <v>1.973306316561695</v>
      </c>
      <c r="D23" s="32">
        <f>Müügitulu!O24</f>
        <v>2.453439123169768</v>
      </c>
    </row>
    <row r="24" spans="2:4" ht="12.75">
      <c r="B24" s="12" t="s">
        <v>89</v>
      </c>
      <c r="C24" s="32">
        <f>Müügitulu!N25</f>
        <v>1.7799930255869103</v>
      </c>
      <c r="D24" s="32">
        <f>Müügitulu!O25</f>
        <v>2.5661325298293525</v>
      </c>
    </row>
    <row r="25" spans="2:4" ht="12.75">
      <c r="B25" s="12" t="s">
        <v>49</v>
      </c>
      <c r="C25" s="32">
        <f>Müügitulu!N26</f>
        <v>1.7425818161793853</v>
      </c>
      <c r="D25" s="32">
        <f>Müügitulu!O26</f>
        <v>1.6821584379942975</v>
      </c>
    </row>
    <row r="26" spans="2:4" ht="12.75">
      <c r="B26" s="12" t="s">
        <v>44</v>
      </c>
      <c r="C26" s="32">
        <f>Müügitulu!N27</f>
        <v>1.8972109130399604</v>
      </c>
      <c r="D26" s="32">
        <f>Müügitulu!O27</f>
        <v>2.381054400216768</v>
      </c>
    </row>
    <row r="27" spans="2:4" ht="12.75">
      <c r="B27" s="12" t="s">
        <v>48</v>
      </c>
      <c r="C27" s="32">
        <f>Müügitulu!N28</f>
        <v>1.4280639746362795</v>
      </c>
      <c r="D27" s="32">
        <f>Müügitulu!O28</f>
        <v>4.767062729880199</v>
      </c>
    </row>
    <row r="28" spans="2:4" ht="12.75">
      <c r="B28" s="23" t="s">
        <v>50</v>
      </c>
      <c r="C28" s="32">
        <f>Müügitulu!N29</f>
        <v>1.3377066000826394</v>
      </c>
      <c r="D28" s="32">
        <f>Müügitulu!O29</f>
        <v>1.364434517779776</v>
      </c>
    </row>
    <row r="29" spans="2:4" ht="12.75">
      <c r="B29" s="12" t="s">
        <v>52</v>
      </c>
      <c r="C29" s="32">
        <f>Müügitulu!N30</f>
        <v>1.6397515822660047</v>
      </c>
      <c r="D29" s="32">
        <f>Müügitulu!O30</f>
        <v>1.6502721045313695</v>
      </c>
    </row>
    <row r="30" spans="2:4" ht="12.75">
      <c r="B30" s="12" t="s">
        <v>56</v>
      </c>
      <c r="C30" s="32">
        <v>1.62</v>
      </c>
      <c r="D30" s="32">
        <v>2.03</v>
      </c>
    </row>
    <row r="31" spans="2:4" ht="12.75">
      <c r="B31" s="12" t="s">
        <v>53</v>
      </c>
      <c r="C31" s="32">
        <f>Müügitulu!N32</f>
        <v>1.34393033196388</v>
      </c>
      <c r="D31" s="32">
        <f>Müügitulu!O32</f>
        <v>1.7345294828737092</v>
      </c>
    </row>
    <row r="32" spans="2:4" ht="12.75">
      <c r="B32" s="12" t="s">
        <v>91</v>
      </c>
      <c r="C32" s="32">
        <f>Müügitulu!N33</f>
        <v>2.2749189178873506</v>
      </c>
      <c r="D32" s="32">
        <f>Müügitulu!O33</f>
        <v>6.384676857412007</v>
      </c>
    </row>
    <row r="33" spans="2:4" ht="12.75">
      <c r="B33" s="12" t="s">
        <v>57</v>
      </c>
      <c r="C33" s="32">
        <f>Müügitulu!N34</f>
        <v>1.7299768165206353</v>
      </c>
      <c r="D33" s="32">
        <f>Müügitulu!O34</f>
        <v>3.578377723758533</v>
      </c>
    </row>
    <row r="34" spans="2:4" ht="12.75">
      <c r="B34" s="12" t="s">
        <v>158</v>
      </c>
      <c r="C34" s="32">
        <f>Müügitulu!N35</f>
        <v>1.7196593529329078</v>
      </c>
      <c r="D34" s="32">
        <f>Müügitulu!O35</f>
        <v>2.3749977526278427</v>
      </c>
    </row>
    <row r="35" spans="2:4" ht="12.75">
      <c r="B35" s="12" t="s">
        <v>60</v>
      </c>
      <c r="C35" s="32">
        <f>Müügitulu!N36</f>
        <v>1.580173881398824</v>
      </c>
      <c r="D35" s="32">
        <f>Müügitulu!O36</f>
        <v>1.9159275388976884</v>
      </c>
    </row>
    <row r="36" spans="2:4" ht="12.75">
      <c r="B36" s="12" t="s">
        <v>159</v>
      </c>
      <c r="C36" s="32">
        <f>Müügitulu!N37</f>
        <v>2.0580644149244205</v>
      </c>
      <c r="D36" s="32">
        <f>Müügitulu!O37</f>
        <v>2.0579131632557135</v>
      </c>
    </row>
    <row r="37" spans="2:4" ht="12.75">
      <c r="B37" s="12" t="s">
        <v>63</v>
      </c>
      <c r="C37" s="32">
        <f>Müügitulu!N38</f>
        <v>1.6635536576696015</v>
      </c>
      <c r="D37" s="32">
        <f>Müügitulu!O38</f>
        <v>1.9612677936020075</v>
      </c>
    </row>
    <row r="38" spans="2:4" ht="12.75">
      <c r="B38" s="12" t="s">
        <v>64</v>
      </c>
      <c r="C38" s="32">
        <f>Müügitulu!N39</f>
        <v>2.1846475152476845</v>
      </c>
      <c r="D38" s="32">
        <f>Müügitulu!O39</f>
        <v>2.1833589075476425</v>
      </c>
    </row>
    <row r="39" spans="2:4" ht="12.75">
      <c r="B39" s="12" t="s">
        <v>68</v>
      </c>
      <c r="C39" s="32">
        <f>Müügitulu!N40</f>
        <v>1.7212950915628398</v>
      </c>
      <c r="D39" s="32">
        <f>Müügitulu!O40</f>
        <v>1.7250514213584764</v>
      </c>
    </row>
    <row r="40" spans="2:4" ht="12.75">
      <c r="B40" s="12" t="s">
        <v>112</v>
      </c>
      <c r="C40" s="32">
        <f>Müügitulu!N41</f>
        <v>2.3199263486336736</v>
      </c>
      <c r="D40" s="32">
        <f>Müügitulu!O41</f>
        <v>2.3200649288558997</v>
      </c>
    </row>
    <row r="41" spans="2:4" ht="12.75">
      <c r="B41" s="12" t="s">
        <v>160</v>
      </c>
      <c r="C41" s="32">
        <f>Müügitulu!N42</f>
        <v>3.177166579747964</v>
      </c>
      <c r="D41" s="32">
        <f>Müügitulu!O42</f>
        <v>3.34146178627526</v>
      </c>
    </row>
    <row r="42" spans="2:4" ht="13.5" thickBot="1">
      <c r="B42" s="12" t="s">
        <v>66</v>
      </c>
      <c r="C42" s="33">
        <f>Müügitulu!N43</f>
        <v>1.660001117868549</v>
      </c>
      <c r="D42" s="33">
        <f>Müügitulu!O43</f>
        <v>1.8949296064469672</v>
      </c>
    </row>
    <row r="43" spans="2:4" ht="13.5" thickBot="1">
      <c r="B43" s="18" t="s">
        <v>128</v>
      </c>
      <c r="C43" s="131">
        <f>AVERAGE(C4:C42)</f>
        <v>1.8731046389706465</v>
      </c>
      <c r="D43" s="132">
        <f>AVERAGE(D4:D42)</f>
        <v>2.3085683307857554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44"/>
  <sheetViews>
    <sheetView tabSelected="1" workbookViewId="0" topLeftCell="A17">
      <selection activeCell="B41" sqref="B41:C42"/>
    </sheetView>
  </sheetViews>
  <sheetFormatPr defaultColWidth="9.140625" defaultRowHeight="12.75"/>
  <cols>
    <col min="1" max="1" width="20.421875" style="0" customWidth="1"/>
  </cols>
  <sheetData>
    <row r="2" spans="1:3" ht="13.5" thickBot="1">
      <c r="A2" s="194" t="s">
        <v>108</v>
      </c>
      <c r="B2" s="194"/>
      <c r="C2" s="194"/>
    </row>
    <row r="3" spans="1:3" ht="12.75">
      <c r="A3" s="1"/>
      <c r="B3" s="2"/>
      <c r="C3" s="2"/>
    </row>
    <row r="4" spans="1:3" ht="13.5" thickBot="1">
      <c r="A4" s="3"/>
      <c r="B4" s="4" t="s">
        <v>109</v>
      </c>
      <c r="C4" s="4" t="s">
        <v>99</v>
      </c>
    </row>
    <row r="5" spans="1:3" ht="12.75">
      <c r="A5" s="23" t="s">
        <v>155</v>
      </c>
      <c r="B5" s="32">
        <f>'Veeteenused elanikkonnale'!I9</f>
        <v>2.42</v>
      </c>
      <c r="C5" s="32">
        <f>'Veeteenused ettevõtetele'!H8</f>
        <v>4.118</v>
      </c>
    </row>
    <row r="6" spans="1:3" ht="12.75">
      <c r="A6" s="12" t="s">
        <v>25</v>
      </c>
      <c r="B6" s="32">
        <f>'Veeteenused elanikkonnale'!I10</f>
        <v>2.388</v>
      </c>
      <c r="C6" s="32">
        <f>'Veeteenused ettevõtetele'!H9</f>
        <v>2.388</v>
      </c>
    </row>
    <row r="7" spans="1:3" ht="12.75">
      <c r="A7" s="12" t="s">
        <v>111</v>
      </c>
      <c r="B7" s="207">
        <f>'Veeteenused elanikkonnale'!I11</f>
        <v>1.94</v>
      </c>
      <c r="C7" s="207">
        <f>'Veeteenused ettevõtetele'!H10</f>
        <v>1.575</v>
      </c>
    </row>
    <row r="8" spans="1:3" ht="12.75">
      <c r="A8" s="12" t="s">
        <v>156</v>
      </c>
      <c r="B8" s="32">
        <f>'Veeteenused elanikkonnale'!I12</f>
        <v>2.24</v>
      </c>
      <c r="C8" s="32">
        <f>'Veeteenused ettevõtetele'!H11</f>
        <v>2.496</v>
      </c>
    </row>
    <row r="9" spans="1:3" ht="12.75">
      <c r="A9" s="12" t="s">
        <v>95</v>
      </c>
      <c r="B9" s="32">
        <f>'Veeteenused elanikkonnale'!I13</f>
        <v>2.616</v>
      </c>
      <c r="C9" s="32">
        <f>'Veeteenused ettevõtetele'!H12</f>
        <v>3.12</v>
      </c>
    </row>
    <row r="10" spans="1:3" ht="12.75">
      <c r="A10" s="12" t="s">
        <v>27</v>
      </c>
      <c r="B10" s="32">
        <f>'Veeteenused elanikkonnale'!I14</f>
        <v>2.026</v>
      </c>
      <c r="C10" s="32">
        <f>'Veeteenused ettevõtetele'!H13</f>
        <v>2.55</v>
      </c>
    </row>
    <row r="11" spans="1:3" ht="12.75">
      <c r="A11" s="12" t="s">
        <v>29</v>
      </c>
      <c r="B11" s="207">
        <f>'Veeteenused elanikkonnale'!I15</f>
        <v>1.713</v>
      </c>
      <c r="C11" s="207">
        <f>'Veeteenused ettevõtetele'!H14</f>
        <v>2.135</v>
      </c>
    </row>
    <row r="12" spans="1:3" ht="12.75">
      <c r="A12" s="12" t="s">
        <v>26</v>
      </c>
      <c r="B12" s="32">
        <f>'Veeteenused elanikkonnale'!I16</f>
        <v>2.4779999999999998</v>
      </c>
      <c r="C12" s="32">
        <f>'Veeteenused ettevõtetele'!H15</f>
        <v>2.4779999999999998</v>
      </c>
    </row>
    <row r="13" spans="1:3" ht="12.75">
      <c r="A13" s="12" t="s">
        <v>31</v>
      </c>
      <c r="B13" s="32">
        <f>'Veeteenused elanikkonnale'!I17</f>
        <v>2.604</v>
      </c>
      <c r="C13" s="32">
        <f>'Veeteenused ettevõtetele'!H16</f>
        <v>2.6</v>
      </c>
    </row>
    <row r="14" spans="1:3" ht="12.75">
      <c r="A14" s="12" t="s">
        <v>41</v>
      </c>
      <c r="B14" s="207">
        <f>'Veeteenused elanikkonnale'!I18</f>
        <v>3.05</v>
      </c>
      <c r="C14" s="207">
        <f>'Veeteenused ettevõtetele'!H17</f>
        <v>3.14</v>
      </c>
    </row>
    <row r="15" spans="1:3" ht="12.75">
      <c r="A15" s="12" t="s">
        <v>33</v>
      </c>
      <c r="B15" s="207">
        <f>'Veeteenused elanikkonnale'!I19</f>
        <v>2.43</v>
      </c>
      <c r="C15" s="207">
        <f>'Veeteenused ettevõtetele'!H18</f>
        <v>2.33</v>
      </c>
    </row>
    <row r="16" spans="1:3" ht="12.75">
      <c r="A16" s="12" t="s">
        <v>113</v>
      </c>
      <c r="B16" s="207">
        <f>'Veeteenused elanikkonnale'!I20</f>
        <v>3.56</v>
      </c>
      <c r="C16" s="207">
        <f>'Veeteenused ettevõtetele'!H19</f>
        <v>5.33</v>
      </c>
    </row>
    <row r="17" spans="1:3" ht="12.75">
      <c r="A17" s="12" t="s">
        <v>34</v>
      </c>
      <c r="B17" s="207">
        <f>'Veeteenused elanikkonnale'!I21</f>
        <v>1.7799999999999998</v>
      </c>
      <c r="C17" s="207">
        <f>'Veeteenused ettevõtetele'!H20</f>
        <v>1.7</v>
      </c>
    </row>
    <row r="18" spans="1:3" ht="12.75">
      <c r="A18" s="12" t="s">
        <v>35</v>
      </c>
      <c r="B18" s="32">
        <f>'Veeteenused elanikkonnale'!I22</f>
        <v>3.024</v>
      </c>
      <c r="C18" s="32">
        <f>'Veeteenused ettevõtetele'!H21</f>
        <v>3.63</v>
      </c>
    </row>
    <row r="19" spans="1:3" ht="12.75">
      <c r="A19" s="12" t="s">
        <v>37</v>
      </c>
      <c r="B19" s="207">
        <f>'Veeteenused elanikkonnale'!I23</f>
        <v>4</v>
      </c>
      <c r="C19" s="207">
        <f>'Veeteenused ettevõtetele'!H22</f>
        <v>4.01</v>
      </c>
    </row>
    <row r="20" spans="1:3" ht="12.75">
      <c r="A20" s="12" t="s">
        <v>157</v>
      </c>
      <c r="B20" s="32">
        <f>'Veeteenused elanikkonnale'!I24</f>
        <v>2.4859999999999998</v>
      </c>
      <c r="C20" s="32">
        <f>'Veeteenused ettevõtetele'!H23</f>
        <v>2.8360000000000003</v>
      </c>
    </row>
    <row r="21" spans="1:3" ht="12.75">
      <c r="A21" s="23" t="s">
        <v>39</v>
      </c>
      <c r="B21" s="207">
        <f>'Veeteenused elanikkonnale'!I25</f>
        <v>2.6900000000000004</v>
      </c>
      <c r="C21" s="207">
        <f>'Veeteenused ettevõtetele'!H24</f>
        <v>3.15</v>
      </c>
    </row>
    <row r="22" spans="1:3" ht="12.75">
      <c r="A22" s="12" t="s">
        <v>42</v>
      </c>
      <c r="B22" s="32">
        <f>'Veeteenused elanikkonnale'!I26</f>
        <v>2.3280000000000003</v>
      </c>
      <c r="C22" s="32">
        <f>'Veeteenused ettevõtetele'!H25</f>
        <v>2.3280000000000003</v>
      </c>
    </row>
    <row r="23" spans="1:3" ht="12.75">
      <c r="A23" s="12" t="s">
        <v>43</v>
      </c>
      <c r="B23" s="32">
        <f>'Veeteenused elanikkonnale'!I27</f>
        <v>2.484</v>
      </c>
      <c r="C23" s="32">
        <f>'Veeteenused ettevõtetele'!H26</f>
        <v>2.484</v>
      </c>
    </row>
    <row r="24" spans="1:3" ht="12.75">
      <c r="A24" s="12" t="s">
        <v>45</v>
      </c>
      <c r="B24" s="207">
        <f>'Veeteenused elanikkonnale'!I28</f>
        <v>2.24</v>
      </c>
      <c r="C24" s="207">
        <f>'Veeteenused ettevõtetele'!H27</f>
        <v>2.84</v>
      </c>
    </row>
    <row r="25" spans="1:3" ht="12.75">
      <c r="A25" s="12" t="s">
        <v>89</v>
      </c>
      <c r="B25" s="32">
        <f>'Veeteenused elanikkonnale'!I29</f>
        <v>2.14</v>
      </c>
      <c r="C25" s="32">
        <f>'Veeteenused ettevõtetele'!H28</f>
        <v>2.96</v>
      </c>
    </row>
    <row r="26" spans="1:3" ht="12.75">
      <c r="A26" s="12" t="s">
        <v>49</v>
      </c>
      <c r="B26" s="32">
        <f>'Veeteenused elanikkonnale'!I30</f>
        <v>2.04</v>
      </c>
      <c r="C26" s="32">
        <f>'Veeteenused ettevõtetele'!H29</f>
        <v>2.04</v>
      </c>
    </row>
    <row r="27" spans="1:3" ht="12.75">
      <c r="A27" s="12" t="s">
        <v>44</v>
      </c>
      <c r="B27" s="32">
        <f>'Veeteenused elanikkonnale'!I31</f>
        <v>2.58</v>
      </c>
      <c r="C27" s="32">
        <f>'Veeteenused ettevõtetele'!H30</f>
        <v>2.88</v>
      </c>
    </row>
    <row r="28" spans="1:3" ht="12.75">
      <c r="A28" s="12" t="s">
        <v>48</v>
      </c>
      <c r="B28" s="32">
        <f>'Veeteenused elanikkonnale'!I32</f>
        <v>1.71</v>
      </c>
      <c r="C28" s="32">
        <f>'Veeteenused ettevõtetele'!H31</f>
        <v>2.2800000000000002</v>
      </c>
    </row>
    <row r="29" spans="1:3" ht="12.75">
      <c r="A29" s="23" t="s">
        <v>50</v>
      </c>
      <c r="B29" s="32">
        <f>'Veeteenused elanikkonnale'!I33</f>
        <v>1.62</v>
      </c>
      <c r="C29" s="32">
        <f>'Veeteenused ettevõtetele'!H32</f>
        <v>1.63</v>
      </c>
    </row>
    <row r="30" spans="1:3" ht="12.75">
      <c r="A30" s="12" t="s">
        <v>52</v>
      </c>
      <c r="B30" s="32">
        <f>'Veeteenused elanikkonnale'!I34</f>
        <v>1.98</v>
      </c>
      <c r="C30" s="32">
        <f>'Veeteenused ettevõtetele'!H33</f>
        <v>1.98</v>
      </c>
    </row>
    <row r="31" spans="1:3" ht="12.75">
      <c r="A31" s="12" t="s">
        <v>56</v>
      </c>
      <c r="B31" s="32">
        <f>'Veeteenused elanikkonnale'!I35</f>
        <v>1.7999999999999998</v>
      </c>
      <c r="C31" s="32">
        <f>'Veeteenused ettevõtetele'!H34</f>
        <v>3.33</v>
      </c>
    </row>
    <row r="32" spans="1:3" ht="12.75">
      <c r="A32" s="12" t="s">
        <v>53</v>
      </c>
      <c r="B32" s="32">
        <f>'Veeteenused elanikkonnale'!I36</f>
        <v>1.63</v>
      </c>
      <c r="C32" s="32">
        <f>'Veeteenused ettevõtetele'!H35</f>
        <v>1.9700000000000002</v>
      </c>
    </row>
    <row r="33" spans="1:3" ht="12.75">
      <c r="A33" s="12" t="s">
        <v>91</v>
      </c>
      <c r="B33" s="32">
        <f>'Veeteenused elanikkonnale'!I37</f>
        <v>2.6500000000000004</v>
      </c>
      <c r="C33" s="32">
        <f>'Veeteenused ettevõtetele'!H36</f>
        <v>5.07</v>
      </c>
    </row>
    <row r="34" spans="1:3" ht="12.75">
      <c r="A34" s="12" t="s">
        <v>57</v>
      </c>
      <c r="B34" s="32">
        <f>'Veeteenused elanikkonnale'!I38</f>
        <v>2.088</v>
      </c>
      <c r="C34" s="32">
        <f>'Veeteenused ettevõtetele'!H37</f>
        <v>4.848</v>
      </c>
    </row>
    <row r="35" spans="1:3" ht="12.75">
      <c r="A35" s="12" t="s">
        <v>158</v>
      </c>
      <c r="B35" s="32">
        <f>'Veeteenused elanikkonnale'!I39</f>
        <v>2.43</v>
      </c>
      <c r="C35" s="32">
        <f>'Veeteenused ettevõtetele'!H38</f>
        <v>2.8600000000000003</v>
      </c>
    </row>
    <row r="36" spans="1:3" ht="12.75">
      <c r="A36" s="12" t="s">
        <v>60</v>
      </c>
      <c r="B36" s="32">
        <f>'Veeteenused elanikkonnale'!I40</f>
        <v>1.9</v>
      </c>
      <c r="C36" s="32">
        <f>'Veeteenused ettevõtetele'!H39</f>
        <v>1.9</v>
      </c>
    </row>
    <row r="37" spans="1:3" ht="12.75">
      <c r="A37" s="12" t="s">
        <v>159</v>
      </c>
      <c r="B37" s="32">
        <f>'Veeteenused elanikkonnale'!I41</f>
        <v>2.46</v>
      </c>
      <c r="C37" s="32">
        <f>'Veeteenused ettevõtetele'!H40</f>
        <v>2.46</v>
      </c>
    </row>
    <row r="38" spans="1:3" ht="12.75">
      <c r="A38" s="12" t="s">
        <v>63</v>
      </c>
      <c r="B38" s="32">
        <f>'Veeteenused elanikkonnale'!I42</f>
        <v>2.04</v>
      </c>
      <c r="C38" s="32">
        <f>'Veeteenused ettevõtetele'!H41</f>
        <v>2.41</v>
      </c>
    </row>
    <row r="39" spans="1:3" ht="12.75">
      <c r="A39" s="12" t="s">
        <v>64</v>
      </c>
      <c r="B39" s="32">
        <f>'Veeteenused elanikkonnale'!I43</f>
        <v>2.61</v>
      </c>
      <c r="C39" s="32">
        <f>'Veeteenused ettevõtetele'!H42</f>
        <v>2.61</v>
      </c>
    </row>
    <row r="40" spans="1:3" ht="12.75">
      <c r="A40" s="12" t="s">
        <v>68</v>
      </c>
      <c r="B40" s="32">
        <f>'Veeteenused elanikkonnale'!I44</f>
        <v>2.07</v>
      </c>
      <c r="C40" s="32">
        <f>'Veeteenused ettevõtetele'!H43</f>
        <v>2.07</v>
      </c>
    </row>
    <row r="41" spans="1:3" ht="12.75">
      <c r="A41" s="12" t="s">
        <v>112</v>
      </c>
      <c r="B41" s="207">
        <f>'Veeteenused elanikkonnale'!I45</f>
        <v>4.45</v>
      </c>
      <c r="C41" s="207">
        <f>'Veeteenused ettevõtetele'!H44</f>
        <v>3.2800000000000002</v>
      </c>
    </row>
    <row r="42" spans="1:3" ht="12.75">
      <c r="A42" s="12" t="s">
        <v>160</v>
      </c>
      <c r="B42" s="207">
        <f>'Veeteenused elanikkonnale'!I46</f>
        <v>3.94</v>
      </c>
      <c r="C42" s="207">
        <f>'Veeteenused ettevõtetele'!H45</f>
        <v>4.18</v>
      </c>
    </row>
    <row r="43" spans="1:3" ht="13.5" thickBot="1">
      <c r="A43" s="12" t="s">
        <v>66</v>
      </c>
      <c r="B43" s="33">
        <f>'Veeteenused elanikkonnale'!I47</f>
        <v>1.9899999999999998</v>
      </c>
      <c r="C43" s="33">
        <f>'Veeteenused ettevõtetele'!H46</f>
        <v>1.9899999999999998</v>
      </c>
    </row>
    <row r="44" spans="1:3" ht="13.5" thickBot="1">
      <c r="A44" s="18" t="s">
        <v>128</v>
      </c>
      <c r="B44" s="34">
        <f>AVERAGE(B5:B43)</f>
        <v>2.426282051282051</v>
      </c>
      <c r="C44" s="35">
        <f>AVERAGE(C5:C43)</f>
        <v>2.8201538461538456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2012-09-24T07:01:16Z</cp:lastPrinted>
  <dcterms:created xsi:type="dcterms:W3CDTF">2011-04-04T08:08:24Z</dcterms:created>
  <dcterms:modified xsi:type="dcterms:W3CDTF">2012-10-11T10:00:49Z</dcterms:modified>
  <cp:category/>
  <cp:version/>
  <cp:contentType/>
  <cp:contentStatus/>
</cp:coreProperties>
</file>