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30" windowWidth="15120" windowHeight="8580" activeTab="4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'Elanikkonnale'!$A$1:$O$34</definedName>
    <definedName name="_xlnm.Print_Area" localSheetId="3">'Ettevõtetele'!$B$1:$P$36</definedName>
    <definedName name="_xlnm.Print_Area" localSheetId="5">'Graafik'!$A$1:$L$35</definedName>
  </definedNames>
  <calcPr fullCalcOnLoad="1"/>
</workbook>
</file>

<file path=xl/sharedStrings.xml><?xml version="1.0" encoding="utf-8"?>
<sst xmlns="http://schemas.openxmlformats.org/spreadsheetml/2006/main" count="464" uniqueCount="225">
  <si>
    <t>VESI</t>
  </si>
  <si>
    <t>KANALISATSIOON</t>
  </si>
  <si>
    <t>Vesi</t>
  </si>
  <si>
    <t>Ettevõtted</t>
  </si>
  <si>
    <t>Tartu</t>
  </si>
  <si>
    <t>K-Järve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</si>
  <si>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</si>
  <si>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</si>
  <si>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</si>
  <si>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</si>
  <si>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</si>
  <si>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</si>
  <si>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</si>
  <si>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</si>
  <si>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</si>
  <si>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</si>
  <si>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</si>
  <si>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</si>
  <si>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</si>
  <si>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</si>
  <si>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</si>
  <si>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</si>
  <si>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</si>
  <si>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</si>
  <si>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</si>
  <si>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</si>
  <si>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</si>
  <si>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</si>
  <si>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1.Haapsalu Veevärk  AS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</si>
  <si>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</si>
  <si>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</si>
  <si>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</si>
  <si>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</si>
  <si>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</si>
  <si>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</si>
  <si>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Paldiski Vesi OÜ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</si>
  <si>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</si>
  <si>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</si>
  <si>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</si>
  <si>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</si>
  <si>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</si>
  <si>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</si>
  <si>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</si>
  <si>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</si>
  <si>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</si>
  <si>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</si>
  <si>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</si>
  <si>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Viru Vesi AS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</si>
  <si>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</si>
  <si>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</si>
  <si>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</si>
  <si>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</si>
  <si>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</si>
  <si>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</si>
  <si>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</si>
  <si>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</si>
  <si>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2. Iivakivi AS</t>
  </si>
  <si>
    <t>3.Jõgeva  Vesi  OÜ</t>
  </si>
  <si>
    <t>4.Järvakandi Komm.OÜ</t>
  </si>
  <si>
    <t>9.Kuressaare Veevärk AS</t>
  </si>
  <si>
    <t>10.Kärdla Veevärk AS</t>
  </si>
  <si>
    <t>11.Melior OÜ</t>
  </si>
  <si>
    <t>13.Paide Vesi AS</t>
  </si>
  <si>
    <t>14. Paldiski Vesi OÜ</t>
  </si>
  <si>
    <t>15.Põlva Vesi  AS</t>
  </si>
  <si>
    <t>16.Pärnu Vesi AS</t>
  </si>
  <si>
    <t>17.Rakvere Vesi AS</t>
  </si>
  <si>
    <t>18.Rapla Vesi AS</t>
  </si>
  <si>
    <t>24.Türi Vesi OÜ</t>
  </si>
  <si>
    <t>25. Valga Vesi AS</t>
  </si>
  <si>
    <t>26.Viljandi Veevärk AS</t>
  </si>
  <si>
    <t>27.Viru Vesi AS</t>
  </si>
  <si>
    <t>28.Segerg AS</t>
  </si>
  <si>
    <t>29.Vändra MP OÜ</t>
  </si>
  <si>
    <t>5.Kadrina Soojus AS</t>
  </si>
  <si>
    <t>6.Keila Vesi AS</t>
  </si>
  <si>
    <t>7.Kiviõli Vesi OÜ</t>
  </si>
  <si>
    <t>8. Kohila Maja OÜ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</si>
  <si>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</si>
  <si>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</si>
  <si>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</si>
  <si>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</si>
  <si>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</si>
  <si>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</si>
  <si>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</si>
  <si>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</si>
  <si>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 xml:space="preserve">           Sindi Vesi</t>
  </si>
  <si>
    <t>Sindi</t>
  </si>
  <si>
    <t>Teenindatav</t>
  </si>
  <si>
    <t>piirkond</t>
  </si>
  <si>
    <t xml:space="preserve">               üksikostjad</t>
  </si>
  <si>
    <t xml:space="preserve">              ühisostjad</t>
  </si>
  <si>
    <t>Põlva vald</t>
  </si>
  <si>
    <t>Valtu küla</t>
  </si>
  <si>
    <t>Kodila küla</t>
  </si>
  <si>
    <t>Keila vald</t>
  </si>
  <si>
    <t>Harku vald</t>
  </si>
  <si>
    <t xml:space="preserve">      Sindi Vesi</t>
  </si>
  <si>
    <t>30. Järve Biopuhastus OÜ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</si>
  <si>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</si>
  <si>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</si>
  <si>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</si>
  <si>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</si>
  <si>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</si>
  <si>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</si>
  <si>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</si>
  <si>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</si>
  <si>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>.Haapsalu Veevärk  AS</t>
  </si>
  <si>
    <t xml:space="preserve"> Valga Vesi AS</t>
  </si>
  <si>
    <t>Asutustele</t>
  </si>
  <si>
    <t>Lüga nuse vallas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</si>
  <si>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</si>
  <si>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</si>
  <si>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</si>
  <si>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</si>
  <si>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</si>
  <si>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</si>
  <si>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</si>
  <si>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</si>
  <si>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</si>
  <si>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</si>
  <si>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</si>
  <si>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</si>
  <si>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</si>
  <si>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</si>
  <si>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Rakvere Vesi AS (linn,üksiko)</t>
  </si>
  <si>
    <t>Rakvere Vesi AS (linn,ühiso)</t>
  </si>
  <si>
    <t>Rakvere Vesi AS (liin, üksiko)</t>
  </si>
  <si>
    <t>Rakvere Vesi AS (linn, ühiso)</t>
  </si>
  <si>
    <t>Kiviõli Vesi OÜ(linn)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</si>
  <si>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</si>
  <si>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</si>
  <si>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</si>
  <si>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</si>
  <si>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</si>
  <si>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</si>
  <si>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</si>
  <si>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</si>
  <si>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</si>
  <si>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</si>
  <si>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</si>
  <si>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</si>
  <si>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</si>
  <si>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</si>
  <si>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</si>
  <si>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</si>
  <si>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</si>
  <si>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</si>
  <si>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</si>
  <si>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</si>
  <si>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</si>
  <si>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</si>
  <si>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K-Järve, ettev.                                                                </t>
  </si>
  <si>
    <t xml:space="preserve">                                         </t>
  </si>
  <si>
    <t xml:space="preserve">            </t>
  </si>
  <si>
    <t xml:space="preserve">                                   </t>
  </si>
  <si>
    <t xml:space="preserve">           </t>
  </si>
  <si>
    <t>linnaasutused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</si>
  <si>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</si>
  <si>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</si>
  <si>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Viru Vesi AS (linnaasutused)</t>
  </si>
  <si>
    <t>Viru Vesi AS (ettev.)</t>
  </si>
  <si>
    <t>Viru Vesi AS (ettev)</t>
  </si>
  <si>
    <t>Viru Vesi (linnaasut.)</t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</si>
  <si>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</si>
  <si>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</si>
  <si>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</si>
  <si>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</si>
  <si>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</si>
  <si>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</si>
  <si>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</si>
  <si>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30.Vändra MP OÜ</t>
  </si>
  <si>
    <t>seisuga 01.07.2007.a</t>
  </si>
  <si>
    <t>12.Paide Vesi AS</t>
  </si>
  <si>
    <t>13. Paldiski Vesi OÜ</t>
  </si>
  <si>
    <t>14.Põlva Vesi  AS</t>
  </si>
  <si>
    <t>15.Pärnu Vesi AS</t>
  </si>
  <si>
    <t>16.Rakvere Vesi AS</t>
  </si>
  <si>
    <t>17.Rapla Vesi AS</t>
  </si>
  <si>
    <t>18.Sillamäe Veevärk AS</t>
  </si>
  <si>
    <t>19.Strantum OÜ</t>
  </si>
  <si>
    <t>20.AS Tallinna Vesi</t>
  </si>
  <si>
    <t>21.Tapa Vesi AS</t>
  </si>
  <si>
    <t>22.Tartu Veevärk AS</t>
  </si>
  <si>
    <t>23. Tõrva Linnahool.Asutus</t>
  </si>
  <si>
    <r>
      <t>seisuga 01.07.2007.a  (käibemaksuga)    kr/m</t>
    </r>
    <r>
      <rPr>
        <vertAlign val="superscript"/>
        <sz val="10"/>
        <rFont val="Arial"/>
        <family val="2"/>
      </rPr>
      <t xml:space="preserve">3            </t>
    </r>
  </si>
  <si>
    <t>5. Järve Biopuhastus OÜ</t>
  </si>
  <si>
    <t>Ida-Virumaa</t>
  </si>
  <si>
    <t>6.Kadrina Soojus AS</t>
  </si>
  <si>
    <t>7.Keila Vesi AS</t>
  </si>
  <si>
    <t>8.Kiviõli Vesi OÜ</t>
  </si>
  <si>
    <t>9.Kohila Maja OÜ</t>
  </si>
  <si>
    <t>10.Kuressaare Veevärk AS</t>
  </si>
  <si>
    <t>11.Kärdla Veevärk AS</t>
  </si>
  <si>
    <t>12.Melior OÜ</t>
  </si>
  <si>
    <t>19. SEGERG AS</t>
  </si>
  <si>
    <t>Tõrva Linnahoolduse Asutus</t>
  </si>
  <si>
    <t>Tõrva Linnah.Asutus</t>
  </si>
  <si>
    <t>20.Sillamäe Veevärk AS</t>
  </si>
  <si>
    <t>21.Strantum  OÜ</t>
  </si>
  <si>
    <t>22.AS Tallinna Vesi</t>
  </si>
  <si>
    <t>23.Tapa Vesi AS</t>
  </si>
  <si>
    <t>24.Tartu Veevärk AS</t>
  </si>
  <si>
    <t>25. Tõrva Linnah.Asutus</t>
  </si>
  <si>
    <t>26.Türi Vesi OÜ</t>
  </si>
  <si>
    <t>27.Valga Vesi AS</t>
  </si>
  <si>
    <t>28.Viljandi Veevärk AS</t>
  </si>
  <si>
    <t>29.Viru Vesi AS</t>
  </si>
  <si>
    <t>18. SEGERG AS</t>
  </si>
  <si>
    <t>19.Sillamäe Veevärk AS</t>
  </si>
  <si>
    <t>20.Strantum OÜ</t>
  </si>
  <si>
    <t>21.AS Tallinna Vesi</t>
  </si>
  <si>
    <t>22.Tapa Vesi AS</t>
  </si>
  <si>
    <t>23.Tartu Veevärk AS</t>
  </si>
  <si>
    <t>24. Tõrva Linnah.Asutus</t>
  </si>
  <si>
    <t>25.Türi Vesi OÜ</t>
  </si>
  <si>
    <t>26. Valga Vesi AS</t>
  </si>
  <si>
    <t>27.Viljandi Veevärk AS</t>
  </si>
  <si>
    <t>28.Viru Vesi AS</t>
  </si>
  <si>
    <t>vesi-kanal.</t>
  </si>
  <si>
    <t>TARIIFID</t>
  </si>
  <si>
    <t>Vesi (tariif)</t>
  </si>
  <si>
    <t>Kanal.(tarrif)</t>
  </si>
  <si>
    <t>vesi+kanal.</t>
  </si>
  <si>
    <t>Kanal.(tariif)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</si>
</sst>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11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.75"/>
      <name val="Arial"/>
      <family val="0"/>
    </font>
    <font>
      <sz val="8.75"/>
      <name val="Arial"/>
      <family val="0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7" xfId="0" applyFont="1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 HIND ETTEVÕTETELE ABONENTTASUGA (käibemaksuga) seisuga 01.07.2007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25"/>
          <c:w val="0.928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Ettevõtetele!$B$7:$C$37</c:f>
              <c:multiLvlStrCache/>
            </c:multiLvlStrRef>
          </c:cat>
          <c:val>
            <c:numRef>
              <c:f>Ettevõtetele!$D$7:$D$37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Ettevõtetele!$B$7:$C$37</c:f>
              <c:multiLvlStrCache/>
            </c:multiLvlStrRef>
          </c:cat>
          <c:val>
            <c:numRef>
              <c:f>Ettevõtetele!$E$7:$E$37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noMultiLvlLbl val="0"/>
      </c:catAx>
      <c:valAx>
        <c:axId val="331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2125"/>
          <c:y val="0.0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HIND ELANIKKONNALE KOOS ABONENTTASUGA (käibemaksuga) seisuga 01.07.2007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4375"/>
          <c:w val="0.9372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Elanikkonnale!$B$5:$B$35</c:f>
              <c:strCache/>
            </c:strRef>
          </c:cat>
          <c:val>
            <c:numRef>
              <c:f>Elanikkonnale!$C$5:$C$35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Elanikkonnale!$B$5:$B$35</c:f>
              <c:strCache/>
            </c:strRef>
          </c:cat>
          <c:val>
            <c:numRef>
              <c:f>Elanikkonnale!$D$5:$D$35</c:f>
              <c:numCache/>
            </c:numRef>
          </c:val>
        </c:ser>
        <c:overlap val="100"/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65"/>
          <c:y val="0.0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VEETEENUSTE  HIND ETTEVÕTETELE ABONENTTASUGA (käibemaksuga) seisuga 01.07.2007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"/>
          <c:w val="0.927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Ettevõtetele!$D$6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Ettevõtetele!$B$7:$C$37</c:f>
              <c:multiLvlStrCache>
                <c:ptCount val="31"/>
                <c:lvl>
                  <c:pt idx="0">
                    <c:v>AS Tallinna Vesi</c:v>
                  </c:pt>
                  <c:pt idx="1">
                    <c:v>Strantum OÜ</c:v>
                  </c:pt>
                  <c:pt idx="2">
                    <c:v>Paldiski Vesi OÜ</c:v>
                  </c:pt>
                  <c:pt idx="3">
                    <c:v>Kiviõli Vesi OÜ( linn)</c:v>
                  </c:pt>
                  <c:pt idx="4">
                    <c:v> Kohila Maja OÜ</c:v>
                  </c:pt>
                  <c:pt idx="5">
                    <c:v>Jõgeva  Vesi  OÜ</c:v>
                  </c:pt>
                  <c:pt idx="6">
                    <c:v>Kuressaare Veevärk AS</c:v>
                  </c:pt>
                  <c:pt idx="7">
                    <c:v>Sillamäe Veevärk AS</c:v>
                  </c:pt>
                  <c:pt idx="8">
                    <c:v>Tapa Vesi AS</c:v>
                  </c:pt>
                  <c:pt idx="9">
                    <c:v>Rakvere Vesi AS (linn)</c:v>
                  </c:pt>
                  <c:pt idx="10">
                    <c:v>Valga Vesi AS</c:v>
                  </c:pt>
                  <c:pt idx="11">
                    <c:v>KESKMINE</c:v>
                  </c:pt>
                  <c:pt idx="12">
                    <c:v>Iivakivi AS</c:v>
                  </c:pt>
                  <c:pt idx="13">
                    <c:v>Viru Vesi AS (ettev.)</c:v>
                  </c:pt>
                  <c:pt idx="14">
                    <c:v>Rapla Vesi AS (linn)</c:v>
                  </c:pt>
                  <c:pt idx="15">
                    <c:v>Vändra MP OÜ</c:v>
                  </c:pt>
                  <c:pt idx="16">
                    <c:v>Melior OÜ</c:v>
                  </c:pt>
                  <c:pt idx="17">
                    <c:v>Põlva Vesi  AS  (linn)</c:v>
                  </c:pt>
                  <c:pt idx="18">
                    <c:v>Viljandi Veevärk AS</c:v>
                  </c:pt>
                  <c:pt idx="19">
                    <c:v>Paide Vesi AS</c:v>
                  </c:pt>
                  <c:pt idx="20">
                    <c:v>Türi Vesi OÜ</c:v>
                  </c:pt>
                  <c:pt idx="21">
                    <c:v>Järvakandi Komm.OÜ</c:v>
                  </c:pt>
                  <c:pt idx="22">
                    <c:v>Tartu Veevärk AS</c:v>
                  </c:pt>
                  <c:pt idx="23">
                    <c:v>Tõrva Linnahoolduse Asutus</c:v>
                  </c:pt>
                  <c:pt idx="24">
                    <c:v>Viru Vesi AS (linnaasutused)</c:v>
                  </c:pt>
                  <c:pt idx="25">
                    <c:v>Pärnu Vesi AS (linn)</c:v>
                  </c:pt>
                  <c:pt idx="26">
                    <c:v>Keila Vesi AS</c:v>
                  </c:pt>
                  <c:pt idx="27">
                    <c:v>Kadrina Soojus AS</c:v>
                  </c:pt>
                  <c:pt idx="28">
                    <c:v>.Haapsalu Veevärk  AS</c:v>
                  </c:pt>
                  <c:pt idx="29">
                    <c:v>Järve Biopuhastus OÜ</c:v>
                  </c:pt>
                </c:lvl>
              </c:multiLvlStrCache>
            </c:multiLvlStrRef>
          </c:cat>
          <c:val>
            <c:numRef>
              <c:f>Ettevõtetele!$D$7:$D$37</c:f>
              <c:numCache>
                <c:ptCount val="31"/>
                <c:pt idx="0">
                  <c:v>34.35</c:v>
                </c:pt>
                <c:pt idx="1">
                  <c:v>23.6</c:v>
                </c:pt>
                <c:pt idx="2">
                  <c:v>17.7</c:v>
                </c:pt>
                <c:pt idx="3">
                  <c:v>16.05</c:v>
                </c:pt>
                <c:pt idx="4">
                  <c:v>15.58</c:v>
                </c:pt>
                <c:pt idx="5">
                  <c:v>15.01</c:v>
                </c:pt>
                <c:pt idx="6">
                  <c:v>14.47</c:v>
                </c:pt>
                <c:pt idx="7">
                  <c:v>13.79</c:v>
                </c:pt>
                <c:pt idx="8">
                  <c:v>13.6</c:v>
                </c:pt>
                <c:pt idx="9">
                  <c:v>13.5</c:v>
                </c:pt>
                <c:pt idx="10">
                  <c:v>13.5</c:v>
                </c:pt>
                <c:pt idx="11">
                  <c:v>13.37</c:v>
                </c:pt>
                <c:pt idx="12">
                  <c:v>12.98</c:v>
                </c:pt>
                <c:pt idx="13">
                  <c:v>12.87</c:v>
                </c:pt>
                <c:pt idx="14">
                  <c:v>12.6</c:v>
                </c:pt>
                <c:pt idx="15">
                  <c:v>12</c:v>
                </c:pt>
                <c:pt idx="16">
                  <c:v>11.8</c:v>
                </c:pt>
                <c:pt idx="17">
                  <c:v>11.8</c:v>
                </c:pt>
                <c:pt idx="18">
                  <c:v>11.8</c:v>
                </c:pt>
                <c:pt idx="19">
                  <c:v>11.32</c:v>
                </c:pt>
                <c:pt idx="20">
                  <c:v>11.28</c:v>
                </c:pt>
                <c:pt idx="21">
                  <c:v>11.15</c:v>
                </c:pt>
                <c:pt idx="22">
                  <c:v>10.8</c:v>
                </c:pt>
                <c:pt idx="23">
                  <c:v>10.62</c:v>
                </c:pt>
                <c:pt idx="24">
                  <c:v>10.52</c:v>
                </c:pt>
                <c:pt idx="25">
                  <c:v>10.5</c:v>
                </c:pt>
                <c:pt idx="26">
                  <c:v>10.12</c:v>
                </c:pt>
                <c:pt idx="27">
                  <c:v>9.44</c:v>
                </c:pt>
                <c:pt idx="28">
                  <c:v>7.85</c:v>
                </c:pt>
                <c:pt idx="29">
                  <c:v>7.1</c:v>
                </c:pt>
              </c:numCache>
            </c:numRef>
          </c:val>
        </c:ser>
        <c:ser>
          <c:idx val="1"/>
          <c:order val="1"/>
          <c:tx>
            <c:strRef>
              <c:f>Ettevõtetele!$E$6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Ettevõtetele!$B$7:$C$37</c:f>
              <c:multiLvlStrCache>
                <c:ptCount val="31"/>
                <c:lvl>
                  <c:pt idx="0">
                    <c:v>AS Tallinna Vesi</c:v>
                  </c:pt>
                  <c:pt idx="1">
                    <c:v>Strantum OÜ</c:v>
                  </c:pt>
                  <c:pt idx="2">
                    <c:v>Paldiski Vesi OÜ</c:v>
                  </c:pt>
                  <c:pt idx="3">
                    <c:v>Kiviõli Vesi OÜ( linn)</c:v>
                  </c:pt>
                  <c:pt idx="4">
                    <c:v> Kohila Maja OÜ</c:v>
                  </c:pt>
                  <c:pt idx="5">
                    <c:v>Jõgeva  Vesi  OÜ</c:v>
                  </c:pt>
                  <c:pt idx="6">
                    <c:v>Kuressaare Veevärk AS</c:v>
                  </c:pt>
                  <c:pt idx="7">
                    <c:v>Sillamäe Veevärk AS</c:v>
                  </c:pt>
                  <c:pt idx="8">
                    <c:v>Tapa Vesi AS</c:v>
                  </c:pt>
                  <c:pt idx="9">
                    <c:v>Rakvere Vesi AS (linn)</c:v>
                  </c:pt>
                  <c:pt idx="10">
                    <c:v>Valga Vesi AS</c:v>
                  </c:pt>
                  <c:pt idx="11">
                    <c:v>KESKMINE</c:v>
                  </c:pt>
                  <c:pt idx="12">
                    <c:v>Iivakivi AS</c:v>
                  </c:pt>
                  <c:pt idx="13">
                    <c:v>Viru Vesi AS (ettev.)</c:v>
                  </c:pt>
                  <c:pt idx="14">
                    <c:v>Rapla Vesi AS (linn)</c:v>
                  </c:pt>
                  <c:pt idx="15">
                    <c:v>Vändra MP OÜ</c:v>
                  </c:pt>
                  <c:pt idx="16">
                    <c:v>Melior OÜ</c:v>
                  </c:pt>
                  <c:pt idx="17">
                    <c:v>Põlva Vesi  AS  (linn)</c:v>
                  </c:pt>
                  <c:pt idx="18">
                    <c:v>Viljandi Veevärk AS</c:v>
                  </c:pt>
                  <c:pt idx="19">
                    <c:v>Paide Vesi AS</c:v>
                  </c:pt>
                  <c:pt idx="20">
                    <c:v>Türi Vesi OÜ</c:v>
                  </c:pt>
                  <c:pt idx="21">
                    <c:v>Järvakandi Komm.OÜ</c:v>
                  </c:pt>
                  <c:pt idx="22">
                    <c:v>Tartu Veevärk AS</c:v>
                  </c:pt>
                  <c:pt idx="23">
                    <c:v>Tõrva Linnahoolduse Asutus</c:v>
                  </c:pt>
                  <c:pt idx="24">
                    <c:v>Viru Vesi AS (linnaasutused)</c:v>
                  </c:pt>
                  <c:pt idx="25">
                    <c:v>Pärnu Vesi AS (linn)</c:v>
                  </c:pt>
                  <c:pt idx="26">
                    <c:v>Keila Vesi AS</c:v>
                  </c:pt>
                  <c:pt idx="27">
                    <c:v>Kadrina Soojus AS</c:v>
                  </c:pt>
                  <c:pt idx="28">
                    <c:v>.Haapsalu Veevärk  AS</c:v>
                  </c:pt>
                  <c:pt idx="29">
                    <c:v>Järve Biopuhastus OÜ</c:v>
                  </c:pt>
                </c:lvl>
              </c:multiLvlStrCache>
            </c:multiLvlStrRef>
          </c:cat>
          <c:val>
            <c:numRef>
              <c:f>Ettevõtetele!$E$7:$E$37</c:f>
              <c:numCache>
                <c:ptCount val="31"/>
                <c:pt idx="0">
                  <c:v>25.48</c:v>
                </c:pt>
                <c:pt idx="1">
                  <c:v>33.04</c:v>
                </c:pt>
                <c:pt idx="2">
                  <c:v>17.7</c:v>
                </c:pt>
                <c:pt idx="3">
                  <c:v>16.59</c:v>
                </c:pt>
                <c:pt idx="4">
                  <c:v>24.78</c:v>
                </c:pt>
                <c:pt idx="5">
                  <c:v>13.97</c:v>
                </c:pt>
                <c:pt idx="6">
                  <c:v>18.42</c:v>
                </c:pt>
                <c:pt idx="7">
                  <c:v>13.15</c:v>
                </c:pt>
                <c:pt idx="8">
                  <c:v>16.4</c:v>
                </c:pt>
                <c:pt idx="9">
                  <c:v>10.5</c:v>
                </c:pt>
                <c:pt idx="10">
                  <c:v>18.5</c:v>
                </c:pt>
                <c:pt idx="11">
                  <c:v>19.01</c:v>
                </c:pt>
                <c:pt idx="12">
                  <c:v>16.52</c:v>
                </c:pt>
                <c:pt idx="13">
                  <c:v>52.5</c:v>
                </c:pt>
                <c:pt idx="14">
                  <c:v>14.4</c:v>
                </c:pt>
                <c:pt idx="15">
                  <c:v>15.6</c:v>
                </c:pt>
                <c:pt idx="16">
                  <c:v>17.11</c:v>
                </c:pt>
                <c:pt idx="17">
                  <c:v>29.5</c:v>
                </c:pt>
                <c:pt idx="18">
                  <c:v>15.34</c:v>
                </c:pt>
                <c:pt idx="19">
                  <c:v>32.86</c:v>
                </c:pt>
                <c:pt idx="20">
                  <c:v>16.15</c:v>
                </c:pt>
                <c:pt idx="21">
                  <c:v>14.85</c:v>
                </c:pt>
                <c:pt idx="22">
                  <c:v>13.2</c:v>
                </c:pt>
                <c:pt idx="23">
                  <c:v>15.34</c:v>
                </c:pt>
                <c:pt idx="24">
                  <c:v>12.5</c:v>
                </c:pt>
                <c:pt idx="25">
                  <c:v>15.3</c:v>
                </c:pt>
                <c:pt idx="26">
                  <c:v>13.05</c:v>
                </c:pt>
                <c:pt idx="27">
                  <c:v>17.11</c:v>
                </c:pt>
                <c:pt idx="28">
                  <c:v>21.5</c:v>
                </c:pt>
                <c:pt idx="29">
                  <c:v>9.79</c:v>
                </c:pt>
              </c:numCache>
            </c:numRef>
          </c:val>
        </c:ser>
        <c:overlap val="100"/>
        <c:axId val="1746793"/>
        <c:axId val="15721138"/>
      </c:bar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95"/>
          <c:y val="0.0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01.07.2007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3"/>
          <c:w val="0.93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Graafik!$B$5:$B$35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Graafik!$A$5:$A$35</c:f>
              <c:strCache/>
            </c:strRef>
          </c:cat>
          <c:val>
            <c:numRef>
              <c:f>Graafik!$C$5:$C$35</c:f>
              <c:numCache/>
            </c:numRef>
          </c:val>
        </c:ser>
        <c:axId val="7272515"/>
        <c:axId val="65452636"/>
      </c:bar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2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0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0.986</cdr:y>
    </cdr:from>
    <cdr:to>
      <cdr:x>0.55575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3895725"/>
          <a:ext cx="4286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19050</xdr:rowOff>
    </xdr:from>
    <xdr:to>
      <xdr:col>15</xdr:col>
      <xdr:colOff>504825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3133725" y="6858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0.91525</cdr:y>
    </cdr:from>
    <cdr:to>
      <cdr:x>0.61775</cdr:x>
      <cdr:y>0.95825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40767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0.93625</cdr:y>
    </cdr:from>
    <cdr:to>
      <cdr:x>0.56575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3705225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0.49925</cdr:x>
      <cdr:y>0.919</cdr:y>
    </cdr:from>
    <cdr:to>
      <cdr:x>0.5745</cdr:x>
      <cdr:y>0.961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36385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76200</xdr:rowOff>
    </xdr:from>
    <xdr:to>
      <xdr:col>14</xdr:col>
      <xdr:colOff>400050</xdr:colOff>
      <xdr:row>31</xdr:row>
      <xdr:rowOff>0</xdr:rowOff>
    </xdr:to>
    <xdr:graphicFrame>
      <xdr:nvGraphicFramePr>
        <xdr:cNvPr id="1" name="Chart 7"/>
        <xdr:cNvGraphicFramePr/>
      </xdr:nvGraphicFramePr>
      <xdr:xfrm>
        <a:off x="3105150" y="581025"/>
        <a:ext cx="57912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40</xdr:row>
      <xdr:rowOff>114300</xdr:rowOff>
    </xdr:from>
    <xdr:to>
      <xdr:col>14</xdr:col>
      <xdr:colOff>371475</xdr:colOff>
      <xdr:row>65</xdr:row>
      <xdr:rowOff>28575</xdr:rowOff>
    </xdr:to>
    <xdr:graphicFrame>
      <xdr:nvGraphicFramePr>
        <xdr:cNvPr id="2" name="Chart 10"/>
        <xdr:cNvGraphicFramePr/>
      </xdr:nvGraphicFramePr>
      <xdr:xfrm>
        <a:off x="3095625" y="6610350"/>
        <a:ext cx="57721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</cdr:x>
      <cdr:y>0.929</cdr:y>
    </cdr:from>
    <cdr:to>
      <cdr:x>0.541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4886325"/>
          <a:ext cx="466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0.95275</cdr:y>
    </cdr:from>
    <cdr:to>
      <cdr:x>0.52675</cdr:x>
      <cdr:y>0.9865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50101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2385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9525</xdr:rowOff>
    </xdr:from>
    <xdr:to>
      <xdr:col>11</xdr:col>
      <xdr:colOff>590550</xdr:colOff>
      <xdr:row>34</xdr:row>
      <xdr:rowOff>66675</xdr:rowOff>
    </xdr:to>
    <xdr:graphicFrame>
      <xdr:nvGraphicFramePr>
        <xdr:cNvPr id="2" name="Chart 9"/>
        <xdr:cNvGraphicFramePr/>
      </xdr:nvGraphicFramePr>
      <xdr:xfrm>
        <a:off x="2514600" y="342900"/>
        <a:ext cx="54006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C45" sqref="C45"/>
    </sheetView>
  </sheetViews>
  <sheetFormatPr defaultColWidth="9.140625" defaultRowHeight="12.75"/>
  <cols>
    <col min="1" max="1" width="19.28125" style="8" customWidth="1"/>
    <col min="2" max="2" width="8.7109375" style="8" customWidth="1"/>
    <col min="3" max="3" width="8.421875" style="8" customWidth="1"/>
    <col min="4" max="4" width="8.85156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6" t="s">
        <v>159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137</v>
      </c>
      <c r="R4" s="2"/>
    </row>
    <row r="5" spans="1:14" ht="12.75">
      <c r="A5" s="11"/>
      <c r="B5" s="12"/>
      <c r="C5" s="23" t="s">
        <v>143</v>
      </c>
      <c r="D5" s="23" t="s">
        <v>143</v>
      </c>
      <c r="E5" s="23" t="s">
        <v>131</v>
      </c>
      <c r="F5" s="23" t="s">
        <v>131</v>
      </c>
      <c r="G5" s="49" t="s">
        <v>138</v>
      </c>
      <c r="H5" s="49" t="s">
        <v>138</v>
      </c>
      <c r="I5" s="19" t="s">
        <v>140</v>
      </c>
      <c r="J5" s="19" t="s">
        <v>140</v>
      </c>
      <c r="K5" s="23" t="s">
        <v>166</v>
      </c>
      <c r="L5" s="23" t="s">
        <v>166</v>
      </c>
      <c r="M5" s="23" t="s">
        <v>166</v>
      </c>
      <c r="N5" s="23" t="s">
        <v>166</v>
      </c>
    </row>
    <row r="6" spans="1:14" ht="12.75">
      <c r="A6" s="10"/>
      <c r="B6" s="20" t="s">
        <v>117</v>
      </c>
      <c r="C6" s="15"/>
      <c r="D6" s="15"/>
      <c r="E6" s="15" t="s">
        <v>144</v>
      </c>
      <c r="F6" s="15" t="s">
        <v>144</v>
      </c>
      <c r="G6" s="15" t="s">
        <v>42</v>
      </c>
      <c r="H6" s="15" t="s">
        <v>42</v>
      </c>
      <c r="I6" s="15" t="s">
        <v>42</v>
      </c>
      <c r="J6" s="15" t="s">
        <v>42</v>
      </c>
      <c r="K6" s="15" t="s">
        <v>145</v>
      </c>
      <c r="L6" s="15" t="s">
        <v>145</v>
      </c>
      <c r="M6" s="15" t="s">
        <v>145</v>
      </c>
      <c r="N6" s="15" t="s">
        <v>145</v>
      </c>
    </row>
    <row r="7" spans="1:14" ht="12.75">
      <c r="A7" s="15" t="s">
        <v>3</v>
      </c>
      <c r="B7" s="20" t="s">
        <v>89</v>
      </c>
      <c r="C7" s="15"/>
      <c r="D7" s="15"/>
      <c r="E7" s="15"/>
      <c r="F7" s="15"/>
      <c r="G7" s="15" t="s">
        <v>139</v>
      </c>
      <c r="H7" s="15" t="s">
        <v>139</v>
      </c>
      <c r="I7" s="15" t="s">
        <v>139</v>
      </c>
      <c r="J7" s="15" t="s">
        <v>139</v>
      </c>
      <c r="K7" s="15" t="s">
        <v>146</v>
      </c>
      <c r="L7" s="15" t="s">
        <v>146</v>
      </c>
      <c r="M7" s="15" t="s">
        <v>146</v>
      </c>
      <c r="N7" s="15" t="s">
        <v>146</v>
      </c>
    </row>
    <row r="8" spans="1:14" ht="12.75">
      <c r="A8" s="10"/>
      <c r="B8" s="14"/>
      <c r="C8" s="15" t="s">
        <v>142</v>
      </c>
      <c r="D8" s="15" t="s">
        <v>142</v>
      </c>
      <c r="E8" s="15" t="s">
        <v>142</v>
      </c>
      <c r="F8" s="15" t="s">
        <v>142</v>
      </c>
      <c r="G8" s="15" t="s">
        <v>141</v>
      </c>
      <c r="H8" s="15" t="s">
        <v>141</v>
      </c>
      <c r="I8" s="15" t="s">
        <v>141</v>
      </c>
      <c r="J8" s="15" t="s">
        <v>141</v>
      </c>
      <c r="K8" s="15" t="s">
        <v>167</v>
      </c>
      <c r="L8" s="15" t="s">
        <v>147</v>
      </c>
      <c r="M8" s="15" t="s">
        <v>168</v>
      </c>
      <c r="N8" s="15" t="s">
        <v>147</v>
      </c>
    </row>
    <row r="9" spans="1:14" ht="12.75">
      <c r="A9" s="16"/>
      <c r="B9" s="13"/>
      <c r="C9" s="17"/>
      <c r="D9" s="17"/>
      <c r="E9" s="17"/>
      <c r="F9" s="17"/>
      <c r="G9" s="17" t="s">
        <v>43</v>
      </c>
      <c r="H9" s="17" t="s">
        <v>43</v>
      </c>
      <c r="I9" s="17" t="s">
        <v>43</v>
      </c>
      <c r="J9" s="17" t="s">
        <v>43</v>
      </c>
      <c r="K9" s="15"/>
      <c r="L9" s="15"/>
      <c r="M9" s="17"/>
      <c r="N9" s="17"/>
    </row>
    <row r="10" spans="1:14" ht="12.75">
      <c r="A10" s="18"/>
      <c r="B10" s="18"/>
      <c r="C10" s="17" t="s">
        <v>100</v>
      </c>
      <c r="D10" s="17" t="s">
        <v>101</v>
      </c>
      <c r="E10" s="17" t="s">
        <v>100</v>
      </c>
      <c r="F10" s="17" t="s">
        <v>101</v>
      </c>
      <c r="G10" s="17" t="s">
        <v>100</v>
      </c>
      <c r="H10" s="18" t="s">
        <v>101</v>
      </c>
      <c r="I10" s="18" t="s">
        <v>100</v>
      </c>
      <c r="J10" s="72" t="s">
        <v>101</v>
      </c>
      <c r="K10" s="18" t="s">
        <v>100</v>
      </c>
      <c r="L10" s="18" t="s">
        <v>100</v>
      </c>
      <c r="M10" s="73" t="s">
        <v>101</v>
      </c>
      <c r="N10" s="18" t="s">
        <v>101</v>
      </c>
    </row>
    <row r="11" spans="1:14" ht="12.75">
      <c r="A11" s="3" t="s">
        <v>28</v>
      </c>
      <c r="B11" s="3" t="s">
        <v>10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74"/>
    </row>
    <row r="12" spans="1:14" ht="12.75">
      <c r="A12" s="3" t="s">
        <v>56</v>
      </c>
      <c r="B12" s="3" t="s">
        <v>53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74"/>
    </row>
    <row r="13" spans="1:14" ht="12.75">
      <c r="A13" s="3" t="s">
        <v>57</v>
      </c>
      <c r="B13" s="3" t="s">
        <v>14</v>
      </c>
      <c r="C13" s="18">
        <v>67.4</v>
      </c>
      <c r="D13" s="18">
        <v>23.4</v>
      </c>
      <c r="E13" s="18">
        <v>66</v>
      </c>
      <c r="F13" s="18">
        <v>21.9</v>
      </c>
      <c r="G13" s="18">
        <v>59.6</v>
      </c>
      <c r="H13" s="18">
        <v>21</v>
      </c>
      <c r="I13" s="18">
        <v>55.8</v>
      </c>
      <c r="J13" s="18">
        <v>21.7</v>
      </c>
      <c r="K13" s="50">
        <f>G13/C13</f>
        <v>0.884272997032641</v>
      </c>
      <c r="L13" s="50">
        <f>I13/E13</f>
        <v>0.8454545454545455</v>
      </c>
      <c r="M13" s="50">
        <f>H13/D13</f>
        <v>0.8974358974358975</v>
      </c>
      <c r="N13" s="50">
        <f>J13/F13</f>
        <v>0.9908675799086758</v>
      </c>
    </row>
    <row r="14" spans="1:14" ht="12.75">
      <c r="A14" s="3" t="s">
        <v>58</v>
      </c>
      <c r="B14" s="9" t="s">
        <v>25</v>
      </c>
      <c r="C14" s="18"/>
      <c r="D14" s="18"/>
      <c r="E14" s="18"/>
      <c r="F14" s="18"/>
      <c r="G14" s="18"/>
      <c r="H14" s="18"/>
      <c r="I14" s="18"/>
      <c r="J14" s="18"/>
      <c r="K14" s="50"/>
      <c r="L14" s="50"/>
      <c r="M14" s="50"/>
      <c r="N14" s="50"/>
    </row>
    <row r="15" spans="1:14" ht="12.75">
      <c r="A15" s="3" t="s">
        <v>186</v>
      </c>
      <c r="B15" s="9" t="s">
        <v>187</v>
      </c>
      <c r="C15" s="18"/>
      <c r="D15" s="18"/>
      <c r="E15" s="18"/>
      <c r="F15" s="18"/>
      <c r="G15" s="18"/>
      <c r="H15" s="18"/>
      <c r="I15" s="18"/>
      <c r="J15" s="18"/>
      <c r="K15" s="50"/>
      <c r="L15" s="50"/>
      <c r="M15" s="50"/>
      <c r="N15" s="50"/>
    </row>
    <row r="16" spans="1:14" ht="12.75">
      <c r="A16" s="3" t="s">
        <v>188</v>
      </c>
      <c r="B16" s="3" t="s">
        <v>22</v>
      </c>
      <c r="C16" s="18"/>
      <c r="D16" s="18"/>
      <c r="E16" s="18"/>
      <c r="F16" s="18"/>
      <c r="G16" s="18"/>
      <c r="H16" s="18"/>
      <c r="I16" s="18"/>
      <c r="J16" s="18"/>
      <c r="K16" s="50"/>
      <c r="L16" s="50"/>
      <c r="M16" s="50"/>
      <c r="N16" s="50"/>
    </row>
    <row r="17" spans="1:14" ht="12.75">
      <c r="A17" s="3" t="s">
        <v>189</v>
      </c>
      <c r="B17" s="3" t="s">
        <v>12</v>
      </c>
      <c r="C17" s="18">
        <v>131</v>
      </c>
      <c r="D17" s="18">
        <v>38.9</v>
      </c>
      <c r="E17" s="18">
        <v>125.7</v>
      </c>
      <c r="F17" s="18">
        <v>63.6</v>
      </c>
      <c r="G17" s="18">
        <v>252.2</v>
      </c>
      <c r="H17" s="18">
        <v>53.1</v>
      </c>
      <c r="I17" s="18">
        <v>191.8</v>
      </c>
      <c r="J17" s="18">
        <v>56.3</v>
      </c>
      <c r="K17" s="50">
        <f>G17/C17</f>
        <v>1.9251908396946564</v>
      </c>
      <c r="L17" s="50">
        <f>I17/E17</f>
        <v>1.5258552108194114</v>
      </c>
      <c r="M17" s="50">
        <f>H17/D17</f>
        <v>1.365038560411311</v>
      </c>
      <c r="N17" s="50">
        <f>J17/F17</f>
        <v>0.8852201257861635</v>
      </c>
    </row>
    <row r="18" spans="1:14" ht="12.75">
      <c r="A18" s="3" t="s">
        <v>190</v>
      </c>
      <c r="B18" s="3" t="s">
        <v>20</v>
      </c>
      <c r="C18" s="18">
        <v>105</v>
      </c>
      <c r="D18" s="18">
        <v>17</v>
      </c>
      <c r="E18" s="18">
        <v>90</v>
      </c>
      <c r="F18" s="18">
        <v>12</v>
      </c>
      <c r="G18" s="18">
        <v>105</v>
      </c>
      <c r="H18" s="18">
        <v>8</v>
      </c>
      <c r="I18" s="18">
        <v>46</v>
      </c>
      <c r="J18" s="18">
        <v>11</v>
      </c>
      <c r="K18" s="50">
        <f>G18/C18</f>
        <v>1</v>
      </c>
      <c r="L18" s="50">
        <f>I18/E18</f>
        <v>0.5111111111111111</v>
      </c>
      <c r="M18" s="50">
        <f>H18/D18</f>
        <v>0.47058823529411764</v>
      </c>
      <c r="N18" s="50">
        <f>J18/F18</f>
        <v>0.9166666666666666</v>
      </c>
    </row>
    <row r="19" spans="1:14" ht="12.75">
      <c r="A19" s="3" t="s">
        <v>191</v>
      </c>
      <c r="B19" s="3" t="s">
        <v>78</v>
      </c>
      <c r="C19" s="18"/>
      <c r="D19" s="18"/>
      <c r="E19" s="18"/>
      <c r="F19" s="18"/>
      <c r="G19" s="18"/>
      <c r="H19" s="18"/>
      <c r="I19" s="18"/>
      <c r="J19" s="18"/>
      <c r="K19" s="50"/>
      <c r="L19" s="50"/>
      <c r="M19" s="50"/>
      <c r="N19" s="50"/>
    </row>
    <row r="20" spans="1:14" ht="12.75">
      <c r="A20" s="3" t="s">
        <v>192</v>
      </c>
      <c r="B20" s="3" t="s">
        <v>9</v>
      </c>
      <c r="C20" s="18">
        <v>185</v>
      </c>
      <c r="D20" s="18">
        <v>170</v>
      </c>
      <c r="E20" s="18">
        <v>182</v>
      </c>
      <c r="F20" s="18">
        <v>190</v>
      </c>
      <c r="G20" s="18">
        <v>171</v>
      </c>
      <c r="H20" s="18">
        <v>68</v>
      </c>
      <c r="I20" s="18">
        <v>165</v>
      </c>
      <c r="J20" s="18">
        <v>68</v>
      </c>
      <c r="K20" s="50">
        <f>G20/C20</f>
        <v>0.9243243243243243</v>
      </c>
      <c r="L20" s="50">
        <f>I20/E20</f>
        <v>0.9065934065934066</v>
      </c>
      <c r="M20" s="50">
        <f>H20/D20</f>
        <v>0.4</v>
      </c>
      <c r="N20" s="50">
        <f>J20/F20</f>
        <v>0.35789473684210527</v>
      </c>
    </row>
    <row r="21" spans="1:14" ht="12.75">
      <c r="A21" s="3" t="s">
        <v>193</v>
      </c>
      <c r="B21" s="3" t="s">
        <v>18</v>
      </c>
      <c r="C21" s="18">
        <v>25.5</v>
      </c>
      <c r="D21" s="18">
        <v>12.8</v>
      </c>
      <c r="E21" s="18">
        <v>23.5</v>
      </c>
      <c r="F21" s="18">
        <v>10.8</v>
      </c>
      <c r="G21" s="18">
        <v>64</v>
      </c>
      <c r="H21" s="18">
        <v>31</v>
      </c>
      <c r="I21" s="18">
        <v>64</v>
      </c>
      <c r="J21" s="18">
        <v>32</v>
      </c>
      <c r="K21" s="50">
        <f>G21/C21</f>
        <v>2.5098039215686274</v>
      </c>
      <c r="L21" s="50">
        <f>I21/E21</f>
        <v>2.723404255319149</v>
      </c>
      <c r="M21" s="50">
        <f>H21/D21</f>
        <v>2.421875</v>
      </c>
      <c r="N21" s="50">
        <f>J21/F21</f>
        <v>2.962962962962963</v>
      </c>
    </row>
    <row r="22" spans="1:14" ht="12.75">
      <c r="A22" s="3" t="s">
        <v>194</v>
      </c>
      <c r="B22" s="3" t="s">
        <v>19</v>
      </c>
      <c r="C22" s="18"/>
      <c r="D22" s="18"/>
      <c r="E22" s="18"/>
      <c r="F22" s="18"/>
      <c r="G22" s="18"/>
      <c r="H22" s="18"/>
      <c r="I22" s="18"/>
      <c r="J22" s="18"/>
      <c r="K22" s="50"/>
      <c r="L22" s="50"/>
      <c r="M22" s="50"/>
      <c r="N22" s="50"/>
    </row>
    <row r="23" spans="1:14" ht="12.75">
      <c r="A23" s="3" t="s">
        <v>62</v>
      </c>
      <c r="B23" s="3" t="s">
        <v>11</v>
      </c>
      <c r="C23" s="18">
        <v>104.3</v>
      </c>
      <c r="D23" s="18">
        <v>59.9</v>
      </c>
      <c r="E23" s="18">
        <v>102.1</v>
      </c>
      <c r="F23" s="18">
        <v>46</v>
      </c>
      <c r="G23" s="18">
        <v>189.5</v>
      </c>
      <c r="H23" s="18">
        <v>143</v>
      </c>
      <c r="I23" s="18">
        <v>182.2</v>
      </c>
      <c r="J23" s="18">
        <v>130.9</v>
      </c>
      <c r="K23" s="50">
        <f>G23/C23</f>
        <v>1.8168744007670183</v>
      </c>
      <c r="L23" s="50">
        <f>I23/E23</f>
        <v>1.7845249755142019</v>
      </c>
      <c r="M23" s="50">
        <f>H23/D23</f>
        <v>2.3873121869782974</v>
      </c>
      <c r="N23" s="50">
        <f>J23/F23</f>
        <v>2.845652173913044</v>
      </c>
    </row>
    <row r="24" spans="1:14" ht="12.75">
      <c r="A24" s="3" t="s">
        <v>63</v>
      </c>
      <c r="B24" s="3" t="s">
        <v>26</v>
      </c>
      <c r="C24" s="18"/>
      <c r="D24" s="18"/>
      <c r="E24" s="18"/>
      <c r="F24" s="18"/>
      <c r="G24" s="18"/>
      <c r="H24" s="18"/>
      <c r="I24" s="18"/>
      <c r="J24" s="18"/>
      <c r="K24" s="50"/>
      <c r="L24" s="50"/>
      <c r="M24" s="50"/>
      <c r="N24" s="50"/>
    </row>
    <row r="25" spans="1:14" ht="12.75">
      <c r="A25" s="3" t="s">
        <v>64</v>
      </c>
      <c r="B25" s="3" t="s">
        <v>13</v>
      </c>
      <c r="C25" s="18"/>
      <c r="D25" s="18"/>
      <c r="E25" s="18"/>
      <c r="F25" s="18"/>
      <c r="G25" s="18"/>
      <c r="H25" s="18"/>
      <c r="I25" s="18"/>
      <c r="J25" s="18"/>
      <c r="K25" s="50"/>
      <c r="L25" s="50"/>
      <c r="M25" s="50"/>
      <c r="N25" s="50"/>
    </row>
    <row r="26" spans="1:14" ht="12.75">
      <c r="A26" s="3" t="s">
        <v>65</v>
      </c>
      <c r="B26" s="3" t="s">
        <v>6</v>
      </c>
      <c r="C26" s="18">
        <v>610</v>
      </c>
      <c r="D26" s="18"/>
      <c r="E26" s="18">
        <v>516</v>
      </c>
      <c r="F26" s="18"/>
      <c r="G26" s="18">
        <v>0.9</v>
      </c>
      <c r="H26" s="18"/>
      <c r="I26" s="18">
        <v>2.9</v>
      </c>
      <c r="J26" s="18"/>
      <c r="K26" s="50">
        <f>G26/C26</f>
        <v>0.0014754098360655738</v>
      </c>
      <c r="L26" s="50">
        <f>I26/E26</f>
        <v>0.00562015503875969</v>
      </c>
      <c r="M26" s="50"/>
      <c r="N26" s="50"/>
    </row>
    <row r="27" spans="1:14" ht="12.75">
      <c r="A27" s="3" t="s">
        <v>66</v>
      </c>
      <c r="B27" s="3" t="s">
        <v>8</v>
      </c>
      <c r="C27" s="18"/>
      <c r="D27" s="18"/>
      <c r="E27" s="18"/>
      <c r="F27" s="18"/>
      <c r="G27" s="18"/>
      <c r="H27" s="18"/>
      <c r="I27" s="18"/>
      <c r="J27" s="18"/>
      <c r="K27" s="50"/>
      <c r="L27" s="50"/>
      <c r="M27" s="50"/>
      <c r="N27" s="50"/>
    </row>
    <row r="28" spans="1:14" ht="12.75">
      <c r="A28" s="3" t="s">
        <v>67</v>
      </c>
      <c r="B28" s="3" t="s">
        <v>17</v>
      </c>
      <c r="C28" s="18"/>
      <c r="D28" s="18"/>
      <c r="E28" s="18"/>
      <c r="F28" s="18"/>
      <c r="G28" s="18"/>
      <c r="H28" s="18"/>
      <c r="I28" s="18"/>
      <c r="J28" s="18"/>
      <c r="K28" s="50"/>
      <c r="L28" s="50"/>
      <c r="M28" s="50"/>
      <c r="N28" s="50"/>
    </row>
    <row r="29" spans="1:14" ht="12.75">
      <c r="A29" s="3" t="s">
        <v>195</v>
      </c>
      <c r="B29" s="3"/>
      <c r="C29" s="18"/>
      <c r="D29" s="18"/>
      <c r="E29" s="18"/>
      <c r="F29" s="18"/>
      <c r="G29" s="18"/>
      <c r="H29" s="18"/>
      <c r="I29" s="18"/>
      <c r="J29" s="18"/>
      <c r="K29" s="50"/>
      <c r="L29" s="50"/>
      <c r="M29" s="50"/>
      <c r="N29" s="50"/>
    </row>
    <row r="30" spans="1:14" ht="12.75">
      <c r="A30" s="3" t="s">
        <v>198</v>
      </c>
      <c r="B30" s="3" t="s">
        <v>49</v>
      </c>
      <c r="C30" s="18">
        <v>339.8</v>
      </c>
      <c r="D30" s="18">
        <v>43.6</v>
      </c>
      <c r="E30" s="18">
        <v>339.2</v>
      </c>
      <c r="F30" s="18">
        <v>106.3</v>
      </c>
      <c r="G30" s="18">
        <v>55.7</v>
      </c>
      <c r="H30" s="18">
        <v>60.7</v>
      </c>
      <c r="I30" s="18">
        <v>55.8</v>
      </c>
      <c r="J30" s="18">
        <v>60.7</v>
      </c>
      <c r="K30" s="50">
        <f>G30/C30</f>
        <v>0.16391995291347852</v>
      </c>
      <c r="L30" s="50">
        <f>I30/E30</f>
        <v>0.16450471698113206</v>
      </c>
      <c r="M30" s="50">
        <f>H30/D30</f>
        <v>1.3922018348623852</v>
      </c>
      <c r="N30" s="50">
        <f>J30/F30</f>
        <v>0.5710253998118533</v>
      </c>
    </row>
    <row r="31" spans="1:14" ht="12.75">
      <c r="A31" s="3" t="s">
        <v>199</v>
      </c>
      <c r="B31" s="3" t="s">
        <v>21</v>
      </c>
      <c r="C31" s="18"/>
      <c r="D31" s="18"/>
      <c r="E31" s="18"/>
      <c r="F31" s="18"/>
      <c r="G31" s="18"/>
      <c r="H31" s="18"/>
      <c r="I31" s="18"/>
      <c r="J31" s="18"/>
      <c r="K31" s="50"/>
      <c r="L31" s="50"/>
      <c r="M31" s="50"/>
      <c r="N31" s="50"/>
    </row>
    <row r="32" spans="1:14" ht="12.75">
      <c r="A32" s="3" t="s">
        <v>200</v>
      </c>
      <c r="B32" s="3" t="s">
        <v>29</v>
      </c>
      <c r="C32" s="18"/>
      <c r="D32" s="18"/>
      <c r="E32" s="18"/>
      <c r="F32" s="18"/>
      <c r="G32" s="18"/>
      <c r="H32" s="18"/>
      <c r="I32" s="18"/>
      <c r="J32" s="18"/>
      <c r="K32" s="50"/>
      <c r="L32" s="50"/>
      <c r="M32" s="50"/>
      <c r="N32" s="50"/>
    </row>
    <row r="33" spans="1:14" ht="12.75">
      <c r="A33" s="3" t="s">
        <v>201</v>
      </c>
      <c r="B33" s="3" t="s">
        <v>16</v>
      </c>
      <c r="C33" s="18"/>
      <c r="D33" s="18"/>
      <c r="E33" s="18"/>
      <c r="F33" s="18"/>
      <c r="G33" s="18"/>
      <c r="H33" s="18"/>
      <c r="I33" s="18"/>
      <c r="J33" s="18"/>
      <c r="K33" s="50"/>
      <c r="L33" s="50"/>
      <c r="M33" s="50"/>
      <c r="N33" s="50"/>
    </row>
    <row r="34" spans="1:14" ht="12.75">
      <c r="A34" s="3" t="s">
        <v>202</v>
      </c>
      <c r="B34" s="3" t="s">
        <v>4</v>
      </c>
      <c r="C34" s="18"/>
      <c r="D34" s="18"/>
      <c r="E34" s="18"/>
      <c r="F34" s="18"/>
      <c r="G34" s="18"/>
      <c r="H34" s="18"/>
      <c r="I34" s="18"/>
      <c r="J34" s="18"/>
      <c r="K34" s="50"/>
      <c r="L34" s="50"/>
      <c r="M34" s="50"/>
      <c r="N34" s="50"/>
    </row>
    <row r="35" spans="1:14" ht="12.75">
      <c r="A35" s="3" t="s">
        <v>203</v>
      </c>
      <c r="B35" s="3" t="s">
        <v>170</v>
      </c>
      <c r="C35" s="18"/>
      <c r="D35" s="18"/>
      <c r="E35" s="18"/>
      <c r="F35" s="18"/>
      <c r="G35" s="18"/>
      <c r="H35" s="18"/>
      <c r="I35" s="18"/>
      <c r="J35" s="18"/>
      <c r="K35" s="50"/>
      <c r="L35" s="50"/>
      <c r="M35" s="50"/>
      <c r="N35" s="50"/>
    </row>
    <row r="36" spans="1:14" ht="12.75">
      <c r="A36" s="3" t="s">
        <v>204</v>
      </c>
      <c r="B36" s="3" t="s">
        <v>15</v>
      </c>
      <c r="C36" s="18"/>
      <c r="D36" s="18"/>
      <c r="E36" s="18"/>
      <c r="F36" s="18"/>
      <c r="G36" s="18"/>
      <c r="H36" s="18"/>
      <c r="I36" s="18"/>
      <c r="J36" s="18"/>
      <c r="K36" s="50"/>
      <c r="L36" s="50"/>
      <c r="M36" s="50"/>
      <c r="N36" s="50"/>
    </row>
    <row r="37" spans="1:14" ht="12.75">
      <c r="A37" s="3" t="s">
        <v>205</v>
      </c>
      <c r="B37" s="3" t="s">
        <v>50</v>
      </c>
      <c r="C37" s="18"/>
      <c r="D37" s="18"/>
      <c r="E37" s="18"/>
      <c r="F37" s="18"/>
      <c r="G37" s="18"/>
      <c r="H37" s="18"/>
      <c r="I37" s="18"/>
      <c r="J37" s="18"/>
      <c r="K37" s="50"/>
      <c r="L37" s="50"/>
      <c r="M37" s="50"/>
      <c r="N37" s="50"/>
    </row>
    <row r="38" spans="1:14" ht="12.75">
      <c r="A38" s="3" t="s">
        <v>206</v>
      </c>
      <c r="B38" s="3" t="s">
        <v>7</v>
      </c>
      <c r="C38" s="18"/>
      <c r="D38" s="18"/>
      <c r="E38" s="18"/>
      <c r="F38" s="18"/>
      <c r="G38" s="18"/>
      <c r="H38" s="18"/>
      <c r="I38" s="18"/>
      <c r="J38" s="18"/>
      <c r="K38" s="50"/>
      <c r="L38" s="50"/>
      <c r="M38" s="50"/>
      <c r="N38" s="50"/>
    </row>
    <row r="39" spans="1:14" ht="12.75">
      <c r="A39" s="3" t="s">
        <v>207</v>
      </c>
      <c r="B39" s="3" t="s">
        <v>5</v>
      </c>
      <c r="C39" s="18">
        <v>760.3</v>
      </c>
      <c r="D39" s="18">
        <v>194.9</v>
      </c>
      <c r="E39" s="18"/>
      <c r="F39" s="18"/>
      <c r="G39" s="18">
        <v>34.9</v>
      </c>
      <c r="H39" s="18">
        <v>226.6</v>
      </c>
      <c r="I39" s="18"/>
      <c r="J39" s="18"/>
      <c r="K39" s="50">
        <f>G39/C39</f>
        <v>0.04590293305274234</v>
      </c>
      <c r="L39" s="50"/>
      <c r="M39" s="50">
        <f>H39/D39</f>
        <v>1.1626475115443817</v>
      </c>
      <c r="N39" s="50"/>
    </row>
    <row r="40" spans="1:14" ht="12.75">
      <c r="A40" s="3" t="s">
        <v>171</v>
      </c>
      <c r="B40" s="3" t="s">
        <v>24</v>
      </c>
      <c r="C40" s="18"/>
      <c r="D40" s="18"/>
      <c r="E40" s="18"/>
      <c r="F40" s="18"/>
      <c r="G40" s="18"/>
      <c r="H40" s="18"/>
      <c r="I40" s="18"/>
      <c r="J40" s="18"/>
      <c r="K40" s="50"/>
      <c r="L40" s="50"/>
      <c r="M40" s="50"/>
      <c r="N40" s="75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5"/>
      <c r="N43" s="65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:K1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8.8515625" style="0" customWidth="1"/>
    <col min="4" max="4" width="8.28125" style="0" customWidth="1"/>
    <col min="5" max="7" width="9.00390625" style="0" customWidth="1"/>
    <col min="8" max="8" width="9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93" t="s">
        <v>165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thickBot="1">
      <c r="A3" s="94" t="s">
        <v>185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58"/>
      <c r="B4" s="92"/>
      <c r="C4" s="95" t="s">
        <v>220</v>
      </c>
      <c r="D4" s="96"/>
      <c r="E4" s="97"/>
      <c r="F4" s="81" t="s">
        <v>221</v>
      </c>
      <c r="G4" s="53" t="s">
        <v>224</v>
      </c>
      <c r="H4" s="38" t="s">
        <v>148</v>
      </c>
      <c r="I4" s="20" t="s">
        <v>0</v>
      </c>
      <c r="J4" s="15" t="s">
        <v>1</v>
      </c>
      <c r="K4" s="45" t="s">
        <v>80</v>
      </c>
    </row>
    <row r="5" spans="1:11" ht="12.75">
      <c r="A5" s="46"/>
      <c r="B5" s="90" t="s">
        <v>88</v>
      </c>
      <c r="C5" s="88"/>
      <c r="D5" s="86"/>
      <c r="E5" s="89"/>
      <c r="F5" s="82" t="s">
        <v>149</v>
      </c>
      <c r="G5" s="35" t="s">
        <v>149</v>
      </c>
      <c r="H5" s="39" t="s">
        <v>139</v>
      </c>
      <c r="I5" s="14"/>
      <c r="J5" s="10"/>
      <c r="K5" s="35" t="s">
        <v>81</v>
      </c>
    </row>
    <row r="6" spans="1:11" ht="12.75">
      <c r="A6" s="44" t="s">
        <v>3</v>
      </c>
      <c r="B6" s="90" t="s">
        <v>89</v>
      </c>
      <c r="C6" s="46" t="s">
        <v>0</v>
      </c>
      <c r="D6" s="46" t="s">
        <v>150</v>
      </c>
      <c r="E6" s="44" t="s">
        <v>223</v>
      </c>
      <c r="F6" s="87" t="s">
        <v>151</v>
      </c>
      <c r="G6" s="43" t="s">
        <v>151</v>
      </c>
      <c r="H6" s="39" t="s">
        <v>158</v>
      </c>
      <c r="I6" s="14"/>
      <c r="J6" s="10"/>
      <c r="K6" s="35" t="s">
        <v>82</v>
      </c>
    </row>
    <row r="7" spans="1:11" ht="13.5" thickBot="1">
      <c r="A7" s="47"/>
      <c r="B7" s="85"/>
      <c r="C7" s="56" t="s">
        <v>41</v>
      </c>
      <c r="D7" s="56" t="s">
        <v>41</v>
      </c>
      <c r="E7" s="56" t="s">
        <v>41</v>
      </c>
      <c r="F7" s="52" t="s">
        <v>41</v>
      </c>
      <c r="G7" s="42" t="s">
        <v>41</v>
      </c>
      <c r="H7" s="37" t="s">
        <v>41</v>
      </c>
      <c r="I7" s="20" t="s">
        <v>41</v>
      </c>
      <c r="J7" s="20" t="s">
        <v>41</v>
      </c>
      <c r="K7" s="20" t="s">
        <v>41</v>
      </c>
    </row>
    <row r="8" spans="1:11" ht="12.75">
      <c r="A8" s="16" t="s">
        <v>28</v>
      </c>
      <c r="B8" s="16" t="s">
        <v>10</v>
      </c>
      <c r="C8" s="17">
        <v>7.85</v>
      </c>
      <c r="D8" s="17">
        <v>21.5</v>
      </c>
      <c r="E8" s="57">
        <f>C8+D8</f>
        <v>29.35</v>
      </c>
      <c r="F8" s="17"/>
      <c r="G8" s="17"/>
      <c r="H8" s="17"/>
      <c r="I8" s="26">
        <f>6.61*1.18</f>
        <v>7.7998</v>
      </c>
      <c r="J8" s="26">
        <f>14.11*1.18</f>
        <v>16.6498</v>
      </c>
      <c r="K8" s="27">
        <f aca="true" t="shared" si="0" ref="K8:K25">I8+J8</f>
        <v>24.4496</v>
      </c>
    </row>
    <row r="9" spans="1:11" ht="12.75">
      <c r="A9" s="3" t="s">
        <v>56</v>
      </c>
      <c r="B9" s="3" t="s">
        <v>53</v>
      </c>
      <c r="C9" s="18">
        <v>12.98</v>
      </c>
      <c r="D9" s="18">
        <v>16.52</v>
      </c>
      <c r="E9" s="57">
        <f aca="true" t="shared" si="1" ref="E9:E50">C9+D9</f>
        <v>29.5</v>
      </c>
      <c r="F9" s="17"/>
      <c r="G9" s="17"/>
      <c r="H9" s="17"/>
      <c r="I9" s="5">
        <f>7.8*1.18</f>
        <v>9.203999999999999</v>
      </c>
      <c r="J9" s="5">
        <f>9.35*1.18</f>
        <v>11.033</v>
      </c>
      <c r="K9" s="22">
        <f t="shared" si="0"/>
        <v>20.237</v>
      </c>
    </row>
    <row r="10" spans="1:11" ht="12.75">
      <c r="A10" s="3" t="s">
        <v>57</v>
      </c>
      <c r="B10" s="3" t="s">
        <v>14</v>
      </c>
      <c r="C10" s="18">
        <v>13.95</v>
      </c>
      <c r="D10" s="18">
        <v>12.8</v>
      </c>
      <c r="E10" s="17">
        <f t="shared" si="1"/>
        <v>26.75</v>
      </c>
      <c r="F10" s="17">
        <f>13.95+1.06</f>
        <v>15.01</v>
      </c>
      <c r="G10" s="17">
        <f>12.8+1.17</f>
        <v>13.97</v>
      </c>
      <c r="H10" s="57">
        <f>SUM(F10:G10)</f>
        <v>28.98</v>
      </c>
      <c r="I10" s="5">
        <f>8.9*1.18</f>
        <v>10.502</v>
      </c>
      <c r="J10" s="5">
        <f>9.75*1.18</f>
        <v>11.504999999999999</v>
      </c>
      <c r="K10" s="22">
        <f t="shared" si="0"/>
        <v>22.006999999999998</v>
      </c>
    </row>
    <row r="11" spans="1:11" ht="12.75">
      <c r="A11" s="3" t="s">
        <v>58</v>
      </c>
      <c r="B11" s="9" t="s">
        <v>25</v>
      </c>
      <c r="C11" s="18">
        <v>11.15</v>
      </c>
      <c r="D11" s="18">
        <v>14.85</v>
      </c>
      <c r="E11" s="57">
        <f t="shared" si="1"/>
        <v>26</v>
      </c>
      <c r="F11" s="17"/>
      <c r="G11" s="17"/>
      <c r="H11" s="57"/>
      <c r="I11" s="5">
        <f>9.45*1.18</f>
        <v>11.150999999999998</v>
      </c>
      <c r="J11" s="5">
        <f>12.585*1.18</f>
        <v>14.8503</v>
      </c>
      <c r="K11" s="22">
        <f t="shared" si="0"/>
        <v>26.0013</v>
      </c>
    </row>
    <row r="12" spans="1:11" ht="12.75">
      <c r="A12" s="3" t="s">
        <v>74</v>
      </c>
      <c r="B12" s="3" t="s">
        <v>22</v>
      </c>
      <c r="C12" s="18">
        <v>9.44</v>
      </c>
      <c r="D12" s="18">
        <v>17.11</v>
      </c>
      <c r="E12" s="57">
        <f t="shared" si="1"/>
        <v>26.549999999999997</v>
      </c>
      <c r="F12" s="17"/>
      <c r="G12" s="17"/>
      <c r="H12" s="57"/>
      <c r="I12" s="5">
        <f>8*1.18</f>
        <v>9.44</v>
      </c>
      <c r="J12" s="3">
        <f>11.5*1.18</f>
        <v>13.569999999999999</v>
      </c>
      <c r="K12" s="22">
        <f t="shared" si="0"/>
        <v>23.009999999999998</v>
      </c>
    </row>
    <row r="13" spans="1:11" ht="12.75">
      <c r="A13" s="3" t="s">
        <v>75</v>
      </c>
      <c r="B13" s="3" t="s">
        <v>12</v>
      </c>
      <c r="C13" s="18">
        <v>8.5</v>
      </c>
      <c r="D13" s="18">
        <v>12</v>
      </c>
      <c r="E13" s="17">
        <f t="shared" si="1"/>
        <v>20.5</v>
      </c>
      <c r="F13" s="17">
        <f>8.5+1.62</f>
        <v>10.120000000000001</v>
      </c>
      <c r="G13" s="17">
        <f>12+1.05</f>
        <v>13.05</v>
      </c>
      <c r="H13" s="57">
        <f>SUM(F13:G13)</f>
        <v>23.17</v>
      </c>
      <c r="I13" s="5">
        <f>7.203*1.18</f>
        <v>8.49954</v>
      </c>
      <c r="J13" s="5">
        <f>10.17*1.18</f>
        <v>12.000599999999999</v>
      </c>
      <c r="K13" s="22">
        <f t="shared" si="0"/>
        <v>20.50014</v>
      </c>
    </row>
    <row r="14" spans="1:11" ht="12.75">
      <c r="A14" s="3" t="s">
        <v>76</v>
      </c>
      <c r="B14" s="3" t="s">
        <v>20</v>
      </c>
      <c r="C14" s="18">
        <v>15.5</v>
      </c>
      <c r="D14" s="18">
        <v>15.5</v>
      </c>
      <c r="E14" s="17">
        <f t="shared" si="1"/>
        <v>31</v>
      </c>
      <c r="F14" s="17">
        <f>15.5+0.55</f>
        <v>16.05</v>
      </c>
      <c r="G14" s="17">
        <f>15.5+1.09</f>
        <v>16.59</v>
      </c>
      <c r="H14" s="57">
        <f>SUM(F14:G14)</f>
        <v>32.64</v>
      </c>
      <c r="I14" s="5">
        <f>13.14*1.18</f>
        <v>15.5052</v>
      </c>
      <c r="J14" s="5">
        <f>13.14*1.18</f>
        <v>15.5052</v>
      </c>
      <c r="K14" s="22">
        <f t="shared" si="0"/>
        <v>31.0104</v>
      </c>
    </row>
    <row r="15" spans="1:11" ht="12.75">
      <c r="A15" s="3"/>
      <c r="B15" s="3" t="s">
        <v>110</v>
      </c>
      <c r="C15" s="18">
        <v>13.7</v>
      </c>
      <c r="D15" s="18">
        <v>11.5</v>
      </c>
      <c r="E15" s="57">
        <f t="shared" si="1"/>
        <v>25.2</v>
      </c>
      <c r="F15" s="17"/>
      <c r="G15" s="17"/>
      <c r="H15" s="57"/>
      <c r="I15" s="5"/>
      <c r="J15" s="5"/>
      <c r="K15" s="22"/>
    </row>
    <row r="16" spans="1:11" ht="12.75">
      <c r="A16" s="3" t="s">
        <v>77</v>
      </c>
      <c r="B16" s="3" t="s">
        <v>78</v>
      </c>
      <c r="C16" s="18">
        <v>15.58</v>
      </c>
      <c r="D16" s="18">
        <v>24.78</v>
      </c>
      <c r="E16" s="57">
        <f t="shared" si="1"/>
        <v>40.36</v>
      </c>
      <c r="F16" s="17"/>
      <c r="G16" s="17"/>
      <c r="H16" s="57"/>
      <c r="I16" s="5">
        <f>9.32*1.18</f>
        <v>10.9976</v>
      </c>
      <c r="J16" s="5">
        <f>12.71*1.18</f>
        <v>14.9978</v>
      </c>
      <c r="K16" s="22">
        <f t="shared" si="0"/>
        <v>25.9954</v>
      </c>
    </row>
    <row r="17" spans="1:11" ht="12.75">
      <c r="A17" s="3" t="s">
        <v>59</v>
      </c>
      <c r="B17" s="3" t="s">
        <v>9</v>
      </c>
      <c r="C17" s="18">
        <v>14</v>
      </c>
      <c r="D17" s="18">
        <v>18</v>
      </c>
      <c r="E17" s="17">
        <f t="shared" si="1"/>
        <v>32</v>
      </c>
      <c r="F17" s="17">
        <f>13+0.47+1</f>
        <v>14.47</v>
      </c>
      <c r="G17" s="17">
        <f>17+0.42+1</f>
        <v>18.42</v>
      </c>
      <c r="H17" s="57">
        <f>SUM(F17:G17)</f>
        <v>32.89</v>
      </c>
      <c r="I17" s="5">
        <f>11.02*1.18</f>
        <v>13.003599999999999</v>
      </c>
      <c r="J17" s="5">
        <f>14.41*1.18</f>
        <v>17.0038</v>
      </c>
      <c r="K17" s="22">
        <f t="shared" si="0"/>
        <v>30.007399999999997</v>
      </c>
    </row>
    <row r="18" spans="1:11" ht="12.75">
      <c r="A18" s="3" t="s">
        <v>60</v>
      </c>
      <c r="B18" s="3" t="s">
        <v>18</v>
      </c>
      <c r="C18" s="18"/>
      <c r="D18" s="18"/>
      <c r="E18" s="17">
        <f t="shared" si="1"/>
        <v>0</v>
      </c>
      <c r="F18" s="17"/>
      <c r="G18" s="17"/>
      <c r="H18" s="57"/>
      <c r="I18" s="5"/>
      <c r="J18" s="5"/>
      <c r="K18" s="22"/>
    </row>
    <row r="19" spans="1:11" ht="12.75">
      <c r="A19" s="3"/>
      <c r="B19" s="3" t="s">
        <v>118</v>
      </c>
      <c r="C19" s="50">
        <f>13.56*1.18</f>
        <v>16.000799999999998</v>
      </c>
      <c r="D19" s="18">
        <v>21</v>
      </c>
      <c r="E19" s="69">
        <f t="shared" si="1"/>
        <v>37.0008</v>
      </c>
      <c r="F19" s="69">
        <f>16+2.85</f>
        <v>18.85</v>
      </c>
      <c r="G19" s="69">
        <f>21+3.49</f>
        <v>24.490000000000002</v>
      </c>
      <c r="H19" s="70">
        <f>SUM(F19:G19)</f>
        <v>43.34</v>
      </c>
      <c r="I19" s="5">
        <f>13.56*1.18</f>
        <v>16.000799999999998</v>
      </c>
      <c r="J19" s="5">
        <f>17.8*1.18</f>
        <v>21.004</v>
      </c>
      <c r="K19" s="22">
        <f t="shared" si="0"/>
        <v>37.0048</v>
      </c>
    </row>
    <row r="20" spans="1:11" ht="12.75">
      <c r="A20" s="3"/>
      <c r="B20" s="3" t="s">
        <v>119</v>
      </c>
      <c r="C20" s="50">
        <f>11.44*1.18</f>
        <v>13.499199999999998</v>
      </c>
      <c r="D20" s="18">
        <v>17.5</v>
      </c>
      <c r="E20" s="69">
        <f t="shared" si="1"/>
        <v>30.9992</v>
      </c>
      <c r="F20" s="69">
        <f>13.5+2.85</f>
        <v>16.35</v>
      </c>
      <c r="G20" s="69">
        <f>17.5+3.49</f>
        <v>20.990000000000002</v>
      </c>
      <c r="H20" s="70">
        <f>SUM(F20:G20)</f>
        <v>37.34</v>
      </c>
      <c r="I20" s="5">
        <f>11.44*1.18</f>
        <v>13.499199999999998</v>
      </c>
      <c r="J20" s="5">
        <f>14.83*1.18</f>
        <v>17.499399999999998</v>
      </c>
      <c r="K20" s="22">
        <f t="shared" si="0"/>
        <v>30.998599999999996</v>
      </c>
    </row>
    <row r="21" spans="1:11" ht="12.75">
      <c r="A21" s="3"/>
      <c r="B21" s="3" t="s">
        <v>120</v>
      </c>
      <c r="C21" s="50">
        <f>9.32*1.18</f>
        <v>10.9976</v>
      </c>
      <c r="D21" s="18">
        <v>15</v>
      </c>
      <c r="E21" s="69">
        <f t="shared" si="1"/>
        <v>25.9976</v>
      </c>
      <c r="F21" s="69">
        <f>11+2.85</f>
        <v>13.85</v>
      </c>
      <c r="G21" s="69">
        <f>15+3.49</f>
        <v>18.490000000000002</v>
      </c>
      <c r="H21" s="70">
        <f>SUM(F21:G21)</f>
        <v>32.34</v>
      </c>
      <c r="I21" s="5">
        <f>9.32*1.18</f>
        <v>10.9976</v>
      </c>
      <c r="J21" s="5">
        <f>12.71*1.18</f>
        <v>14.9978</v>
      </c>
      <c r="K21" s="22">
        <f t="shared" si="0"/>
        <v>25.9954</v>
      </c>
    </row>
    <row r="22" spans="1:11" ht="12.75">
      <c r="A22" s="3" t="s">
        <v>61</v>
      </c>
      <c r="B22" s="3" t="s">
        <v>19</v>
      </c>
      <c r="C22" s="18">
        <v>11.8</v>
      </c>
      <c r="D22" s="18">
        <v>17.11</v>
      </c>
      <c r="E22" s="57">
        <f t="shared" si="1"/>
        <v>28.91</v>
      </c>
      <c r="F22" s="17"/>
      <c r="G22" s="17"/>
      <c r="H22" s="57"/>
      <c r="I22" s="5">
        <f>9.576*1.18</f>
        <v>11.29968</v>
      </c>
      <c r="J22" s="5">
        <f>13.22*1.18</f>
        <v>15.5996</v>
      </c>
      <c r="K22" s="22">
        <f t="shared" si="0"/>
        <v>26.89928</v>
      </c>
    </row>
    <row r="23" spans="1:11" ht="12.75">
      <c r="A23" s="3" t="s">
        <v>173</v>
      </c>
      <c r="B23" s="3" t="s">
        <v>11</v>
      </c>
      <c r="C23" s="18">
        <v>8.5</v>
      </c>
      <c r="D23" s="18">
        <v>29.5</v>
      </c>
      <c r="E23" s="17">
        <f t="shared" si="1"/>
        <v>38</v>
      </c>
      <c r="F23" s="17">
        <f>8.5+2.82</f>
        <v>11.32</v>
      </c>
      <c r="G23" s="17">
        <f>29.5+3.36</f>
        <v>32.86</v>
      </c>
      <c r="H23" s="57">
        <f>SUM(F23:G23)</f>
        <v>44.18</v>
      </c>
      <c r="I23" s="5">
        <f>7.2*1.18</f>
        <v>8.496</v>
      </c>
      <c r="J23" s="3">
        <f>25*1.18</f>
        <v>29.5</v>
      </c>
      <c r="K23" s="22">
        <f t="shared" si="0"/>
        <v>37.996</v>
      </c>
    </row>
    <row r="24" spans="1:11" ht="12.75">
      <c r="A24" s="3" t="s">
        <v>174</v>
      </c>
      <c r="B24" s="3" t="s">
        <v>26</v>
      </c>
      <c r="C24" s="18">
        <v>17.7</v>
      </c>
      <c r="D24" s="18">
        <v>17.7</v>
      </c>
      <c r="E24" s="57">
        <f t="shared" si="1"/>
        <v>35.4</v>
      </c>
      <c r="F24" s="17"/>
      <c r="G24" s="17"/>
      <c r="H24" s="57"/>
      <c r="I24" s="5">
        <f>15*1.18</f>
        <v>17.7</v>
      </c>
      <c r="J24" s="5">
        <f>15*1.18</f>
        <v>17.7</v>
      </c>
      <c r="K24" s="22">
        <f t="shared" si="0"/>
        <v>35.4</v>
      </c>
    </row>
    <row r="25" spans="1:11" ht="12.75">
      <c r="A25" s="3" t="s">
        <v>175</v>
      </c>
      <c r="B25" s="3" t="s">
        <v>103</v>
      </c>
      <c r="C25" s="18">
        <v>11.8</v>
      </c>
      <c r="D25" s="18">
        <v>29.5</v>
      </c>
      <c r="E25" s="57">
        <f t="shared" si="1"/>
        <v>41.3</v>
      </c>
      <c r="F25" s="17"/>
      <c r="G25" s="17"/>
      <c r="H25" s="57"/>
      <c r="I25" s="5">
        <f>10*1.18</f>
        <v>11.799999999999999</v>
      </c>
      <c r="J25" s="5">
        <f>25*1.18</f>
        <v>29.5</v>
      </c>
      <c r="K25" s="22">
        <f t="shared" si="0"/>
        <v>41.3</v>
      </c>
    </row>
    <row r="26" spans="1:11" ht="12.75">
      <c r="A26" s="3"/>
      <c r="B26" s="3" t="s">
        <v>92</v>
      </c>
      <c r="C26" s="18">
        <v>6.9</v>
      </c>
      <c r="D26" s="18">
        <v>7.1</v>
      </c>
      <c r="E26" s="57">
        <f t="shared" si="1"/>
        <v>14</v>
      </c>
      <c r="F26" s="17"/>
      <c r="G26" s="17"/>
      <c r="H26" s="57"/>
      <c r="I26" s="5">
        <f>5.85*1.18</f>
        <v>6.903</v>
      </c>
      <c r="J26" s="5">
        <f>6.9*1.18</f>
        <v>8.142</v>
      </c>
      <c r="K26" s="22">
        <f>SUM(I26:J26)</f>
        <v>15.044999999999998</v>
      </c>
    </row>
    <row r="27" spans="1:11" ht="12.75">
      <c r="A27" s="3"/>
      <c r="B27" s="3" t="s">
        <v>102</v>
      </c>
      <c r="C27" s="18">
        <v>14</v>
      </c>
      <c r="D27" s="18">
        <v>14</v>
      </c>
      <c r="E27" s="57">
        <f t="shared" si="1"/>
        <v>28</v>
      </c>
      <c r="F27" s="17"/>
      <c r="G27" s="17"/>
      <c r="H27" s="57"/>
      <c r="I27" s="5"/>
      <c r="J27" s="5"/>
      <c r="K27" s="22"/>
    </row>
    <row r="28" spans="1:11" ht="12.75">
      <c r="A28" s="3" t="s">
        <v>176</v>
      </c>
      <c r="B28" s="3" t="s">
        <v>6</v>
      </c>
      <c r="C28" s="18">
        <v>10.5</v>
      </c>
      <c r="D28" s="18">
        <v>15.3</v>
      </c>
      <c r="E28" s="57">
        <f t="shared" si="1"/>
        <v>25.8</v>
      </c>
      <c r="F28" s="17"/>
      <c r="G28" s="17"/>
      <c r="H28" s="57"/>
      <c r="I28" s="5">
        <f>8.9*1.18</f>
        <v>10.502</v>
      </c>
      <c r="J28" s="5">
        <f>12.97*1.18</f>
        <v>15.3046</v>
      </c>
      <c r="K28" s="22">
        <f aca="true" t="shared" si="2" ref="K28:K45">I28+J28</f>
        <v>25.806600000000003</v>
      </c>
    </row>
    <row r="29" spans="1:11" ht="12.75">
      <c r="A29" s="3" t="s">
        <v>97</v>
      </c>
      <c r="B29" s="3" t="s">
        <v>87</v>
      </c>
      <c r="C29" s="18"/>
      <c r="D29" s="18">
        <v>15.3</v>
      </c>
      <c r="E29" s="57">
        <f t="shared" si="1"/>
        <v>15.3</v>
      </c>
      <c r="F29" s="17"/>
      <c r="G29" s="17"/>
      <c r="H29" s="57"/>
      <c r="I29" s="5"/>
      <c r="J29" s="5">
        <f>12.37*1.18</f>
        <v>14.596599999999999</v>
      </c>
      <c r="K29" s="22">
        <f t="shared" si="2"/>
        <v>14.596599999999999</v>
      </c>
    </row>
    <row r="30" spans="1:11" ht="12.75">
      <c r="A30" s="3" t="s">
        <v>177</v>
      </c>
      <c r="B30" s="3" t="s">
        <v>8</v>
      </c>
      <c r="C30" s="18">
        <v>13.5</v>
      </c>
      <c r="D30" s="18">
        <v>10.5</v>
      </c>
      <c r="E30" s="57">
        <f t="shared" si="1"/>
        <v>24</v>
      </c>
      <c r="F30" s="17"/>
      <c r="G30" s="17"/>
      <c r="H30" s="57"/>
      <c r="I30" s="5">
        <f>11.44*1.18</f>
        <v>13.499199999999998</v>
      </c>
      <c r="J30" s="5">
        <f>8.9*1.18</f>
        <v>10.502</v>
      </c>
      <c r="K30" s="22">
        <f t="shared" si="2"/>
        <v>24.001199999999997</v>
      </c>
    </row>
    <row r="31" spans="1:11" ht="12.75">
      <c r="A31" s="3" t="s">
        <v>178</v>
      </c>
      <c r="B31" s="3" t="s">
        <v>17</v>
      </c>
      <c r="C31" s="18">
        <v>12.6</v>
      </c>
      <c r="D31" s="18">
        <v>14.4</v>
      </c>
      <c r="E31" s="57">
        <f t="shared" si="1"/>
        <v>27</v>
      </c>
      <c r="F31" s="17"/>
      <c r="G31" s="17"/>
      <c r="H31" s="57"/>
      <c r="I31" s="5">
        <f>10.68*1.18</f>
        <v>12.6024</v>
      </c>
      <c r="J31" s="5">
        <f>12.2*1.18</f>
        <v>14.395999999999999</v>
      </c>
      <c r="K31" s="22">
        <f t="shared" si="2"/>
        <v>26.998399999999997</v>
      </c>
    </row>
    <row r="32" spans="1:11" ht="12.75">
      <c r="A32" s="3"/>
      <c r="B32" s="3" t="s">
        <v>93</v>
      </c>
      <c r="C32" s="18">
        <v>12.6</v>
      </c>
      <c r="D32" s="18">
        <v>14.4</v>
      </c>
      <c r="E32" s="57">
        <f t="shared" si="1"/>
        <v>27</v>
      </c>
      <c r="F32" s="17"/>
      <c r="G32" s="17"/>
      <c r="H32" s="57"/>
      <c r="I32" s="5">
        <v>12.6</v>
      </c>
      <c r="J32" s="5">
        <f>12.2*1.18</f>
        <v>14.395999999999999</v>
      </c>
      <c r="K32" s="22">
        <f t="shared" si="2"/>
        <v>26.996</v>
      </c>
    </row>
    <row r="33" spans="1:11" ht="12.75">
      <c r="A33" s="3"/>
      <c r="B33" s="3" t="s">
        <v>94</v>
      </c>
      <c r="C33" s="18">
        <v>9.6</v>
      </c>
      <c r="D33" s="18">
        <v>14.4</v>
      </c>
      <c r="E33" s="57">
        <f t="shared" si="1"/>
        <v>24</v>
      </c>
      <c r="F33" s="17"/>
      <c r="G33" s="17"/>
      <c r="H33" s="57"/>
      <c r="I33" s="5">
        <f>8.14*1.18</f>
        <v>9.6052</v>
      </c>
      <c r="J33" s="5">
        <f>12.2*1.18</f>
        <v>14.395999999999999</v>
      </c>
      <c r="K33" s="22">
        <f t="shared" si="2"/>
        <v>24.001199999999997</v>
      </c>
    </row>
    <row r="34" spans="1:11" ht="12.75">
      <c r="A34" s="3" t="s">
        <v>208</v>
      </c>
      <c r="B34" s="3" t="s">
        <v>95</v>
      </c>
      <c r="C34" s="18">
        <v>10.5</v>
      </c>
      <c r="D34" s="18">
        <v>14.5</v>
      </c>
      <c r="E34" s="57">
        <f t="shared" si="1"/>
        <v>25</v>
      </c>
      <c r="F34" s="17"/>
      <c r="G34" s="17"/>
      <c r="H34" s="57"/>
      <c r="I34" s="5"/>
      <c r="J34" s="5"/>
      <c r="K34" s="22"/>
    </row>
    <row r="35" spans="1:11" ht="12.75">
      <c r="A35" s="3"/>
      <c r="B35" s="3" t="s">
        <v>96</v>
      </c>
      <c r="C35" s="18">
        <v>13.22</v>
      </c>
      <c r="D35" s="18">
        <v>13.03</v>
      </c>
      <c r="E35" s="57">
        <f t="shared" si="1"/>
        <v>26.25</v>
      </c>
      <c r="F35" s="17"/>
      <c r="G35" s="17"/>
      <c r="H35" s="57"/>
      <c r="I35" s="5"/>
      <c r="J35" s="5"/>
      <c r="K35" s="22"/>
    </row>
    <row r="36" spans="1:11" ht="12.75">
      <c r="A36" s="3" t="s">
        <v>209</v>
      </c>
      <c r="B36" s="3" t="s">
        <v>49</v>
      </c>
      <c r="C36" s="18">
        <v>12.15</v>
      </c>
      <c r="D36" s="18">
        <v>12.48</v>
      </c>
      <c r="E36" s="17">
        <f t="shared" si="1"/>
        <v>24.630000000000003</v>
      </c>
      <c r="F36" s="17">
        <f>12.15+1.64</f>
        <v>13.790000000000001</v>
      </c>
      <c r="G36" s="17">
        <f>12.48+0.67</f>
        <v>13.15</v>
      </c>
      <c r="H36" s="57">
        <f>SUM(F36:G36)</f>
        <v>26.94</v>
      </c>
      <c r="I36" s="5">
        <f>10.3*1.18</f>
        <v>12.154</v>
      </c>
      <c r="J36" s="5">
        <f>10.58*1.18</f>
        <v>12.484399999999999</v>
      </c>
      <c r="K36" s="22">
        <f t="shared" si="2"/>
        <v>24.638399999999997</v>
      </c>
    </row>
    <row r="37" spans="1:11" ht="12.75">
      <c r="A37" s="3" t="s">
        <v>210</v>
      </c>
      <c r="B37" s="3" t="s">
        <v>21</v>
      </c>
      <c r="C37" s="18">
        <v>23.6</v>
      </c>
      <c r="D37" s="18">
        <v>33.04</v>
      </c>
      <c r="E37" s="57">
        <f t="shared" si="1"/>
        <v>56.64</v>
      </c>
      <c r="F37" s="17"/>
      <c r="G37" s="17"/>
      <c r="H37" s="57"/>
      <c r="I37" s="5">
        <f>18.5*1.18</f>
        <v>21.83</v>
      </c>
      <c r="J37" s="3">
        <f>26*1.18</f>
        <v>30.68</v>
      </c>
      <c r="K37" s="22">
        <f t="shared" si="2"/>
        <v>52.51</v>
      </c>
    </row>
    <row r="38" spans="1:11" ht="12.75">
      <c r="A38" s="3" t="s">
        <v>211</v>
      </c>
      <c r="B38" s="3" t="s">
        <v>29</v>
      </c>
      <c r="C38" s="18">
        <v>34.35</v>
      </c>
      <c r="D38" s="18">
        <v>25.48</v>
      </c>
      <c r="E38" s="17">
        <f t="shared" si="1"/>
        <v>59.83</v>
      </c>
      <c r="F38" s="17">
        <v>34.35</v>
      </c>
      <c r="G38" s="17">
        <v>25.48</v>
      </c>
      <c r="H38" s="57">
        <f>SUM(F38:G38)</f>
        <v>59.83</v>
      </c>
      <c r="I38" s="5">
        <f>26.27*1.18</f>
        <v>30.998599999999996</v>
      </c>
      <c r="J38" s="5">
        <f>19.2*1.18</f>
        <v>22.656</v>
      </c>
      <c r="K38" s="22">
        <f t="shared" si="2"/>
        <v>53.654599999999995</v>
      </c>
    </row>
    <row r="39" spans="1:11" ht="12.75">
      <c r="A39" s="3" t="s">
        <v>212</v>
      </c>
      <c r="B39" s="3" t="s">
        <v>16</v>
      </c>
      <c r="C39" s="18">
        <v>13.6</v>
      </c>
      <c r="D39" s="18">
        <v>16.4</v>
      </c>
      <c r="E39" s="57">
        <f t="shared" si="1"/>
        <v>30</v>
      </c>
      <c r="F39" s="17"/>
      <c r="G39" s="17"/>
      <c r="H39" s="57"/>
      <c r="I39" s="5">
        <f>11.02*1.18</f>
        <v>13.003599999999999</v>
      </c>
      <c r="J39" s="5">
        <f>12.63*1.18</f>
        <v>14.9034</v>
      </c>
      <c r="K39" s="22">
        <f t="shared" si="2"/>
        <v>27.906999999999996</v>
      </c>
    </row>
    <row r="40" spans="1:11" ht="12.75">
      <c r="A40" s="3" t="s">
        <v>213</v>
      </c>
      <c r="B40" s="3" t="s">
        <v>4</v>
      </c>
      <c r="C40" s="18">
        <v>10.8</v>
      </c>
      <c r="D40" s="18">
        <v>13.2</v>
      </c>
      <c r="E40" s="57">
        <f t="shared" si="1"/>
        <v>24</v>
      </c>
      <c r="F40" s="17"/>
      <c r="G40" s="17"/>
      <c r="H40" s="57"/>
      <c r="I40" s="5">
        <f>9.15*1.18</f>
        <v>10.797</v>
      </c>
      <c r="J40" s="5">
        <f>11.19*1.18</f>
        <v>13.204199999999998</v>
      </c>
      <c r="K40" s="22">
        <f t="shared" si="2"/>
        <v>24.001199999999997</v>
      </c>
    </row>
    <row r="41" spans="1:11" ht="12.75">
      <c r="A41" s="3" t="s">
        <v>214</v>
      </c>
      <c r="B41" s="3" t="s">
        <v>170</v>
      </c>
      <c r="C41" s="18">
        <v>10.62</v>
      </c>
      <c r="D41" s="18">
        <v>15.34</v>
      </c>
      <c r="E41" s="57">
        <f t="shared" si="1"/>
        <v>25.96</v>
      </c>
      <c r="F41" s="17"/>
      <c r="G41" s="17"/>
      <c r="H41" s="57"/>
      <c r="I41" s="5"/>
      <c r="J41" s="5"/>
      <c r="K41" s="22"/>
    </row>
    <row r="42" spans="1:11" ht="12.75">
      <c r="A42" s="3" t="s">
        <v>215</v>
      </c>
      <c r="B42" s="3" t="s">
        <v>15</v>
      </c>
      <c r="C42" s="18">
        <v>11.28</v>
      </c>
      <c r="D42" s="50">
        <v>16.15</v>
      </c>
      <c r="E42" s="70">
        <f t="shared" si="1"/>
        <v>27.43</v>
      </c>
      <c r="F42" s="69"/>
      <c r="G42" s="69"/>
      <c r="H42" s="70"/>
      <c r="I42" s="5">
        <f>8.8*1.18</f>
        <v>10.384</v>
      </c>
      <c r="J42" s="5">
        <f>12.21*1.18</f>
        <v>14.4078</v>
      </c>
      <c r="K42" s="22">
        <f t="shared" si="2"/>
        <v>24.791800000000002</v>
      </c>
    </row>
    <row r="43" spans="1:11" ht="12.75">
      <c r="A43" s="3" t="s">
        <v>216</v>
      </c>
      <c r="B43" s="3" t="s">
        <v>50</v>
      </c>
      <c r="C43" s="18">
        <v>13.5</v>
      </c>
      <c r="D43" s="18">
        <v>18.5</v>
      </c>
      <c r="E43" s="57">
        <f t="shared" si="1"/>
        <v>32</v>
      </c>
      <c r="F43" s="17"/>
      <c r="G43" s="17"/>
      <c r="H43" s="57"/>
      <c r="I43" s="5">
        <f>11.44*1.18</f>
        <v>13.499199999999998</v>
      </c>
      <c r="J43" s="5">
        <f>15.68*1.18</f>
        <v>18.502399999999998</v>
      </c>
      <c r="K43" s="22">
        <f t="shared" si="2"/>
        <v>32.001599999999996</v>
      </c>
    </row>
    <row r="44" spans="1:11" ht="12.75">
      <c r="A44" s="3" t="s">
        <v>217</v>
      </c>
      <c r="B44" s="3" t="s">
        <v>7</v>
      </c>
      <c r="C44" s="18">
        <v>11.8</v>
      </c>
      <c r="D44" s="18">
        <v>15.34</v>
      </c>
      <c r="E44" s="57">
        <f t="shared" si="1"/>
        <v>27.14</v>
      </c>
      <c r="F44" s="17"/>
      <c r="G44" s="17"/>
      <c r="H44" s="57"/>
      <c r="I44" s="5">
        <f>9*1.18</f>
        <v>10.62</v>
      </c>
      <c r="J44" s="5">
        <f>12*1.18</f>
        <v>14.16</v>
      </c>
      <c r="K44" s="22">
        <f t="shared" si="2"/>
        <v>24.78</v>
      </c>
    </row>
    <row r="45" spans="1:11" ht="12.75">
      <c r="A45" s="3" t="s">
        <v>218</v>
      </c>
      <c r="B45" s="3" t="s">
        <v>152</v>
      </c>
      <c r="C45" s="18">
        <v>11.5</v>
      </c>
      <c r="D45" s="18">
        <v>52.5</v>
      </c>
      <c r="E45" s="17">
        <f t="shared" si="1"/>
        <v>64</v>
      </c>
      <c r="F45" s="17">
        <v>12.87</v>
      </c>
      <c r="G45" s="17">
        <v>52.5</v>
      </c>
      <c r="H45" s="57">
        <f>SUM(F45:G45)</f>
        <v>65.37</v>
      </c>
      <c r="I45" s="5">
        <f>9.75*1.18</f>
        <v>11.504999999999999</v>
      </c>
      <c r="J45" s="5">
        <f>44.49*1.18</f>
        <v>52.4982</v>
      </c>
      <c r="K45" s="22">
        <f t="shared" si="2"/>
        <v>64.00319999999999</v>
      </c>
    </row>
    <row r="46" spans="1:11" ht="12.75">
      <c r="A46" s="1"/>
      <c r="B46" s="21" t="s">
        <v>157</v>
      </c>
      <c r="C46" s="18">
        <v>9.15</v>
      </c>
      <c r="D46" s="18">
        <v>12.5</v>
      </c>
      <c r="E46" s="18">
        <f t="shared" si="1"/>
        <v>21.65</v>
      </c>
      <c r="F46" s="18">
        <v>10.52</v>
      </c>
      <c r="G46" s="18">
        <v>12.5</v>
      </c>
      <c r="H46" s="71">
        <f>SUM(F46:G46)</f>
        <v>23.02</v>
      </c>
      <c r="I46" s="5"/>
      <c r="J46" s="5"/>
      <c r="K46" s="22"/>
    </row>
    <row r="47" spans="1:11" ht="12.75">
      <c r="A47" s="3"/>
      <c r="B47" s="3" t="s">
        <v>95</v>
      </c>
      <c r="C47" s="18">
        <v>10.5</v>
      </c>
      <c r="D47" s="18">
        <v>14.5</v>
      </c>
      <c r="E47" s="57">
        <f t="shared" si="1"/>
        <v>25</v>
      </c>
      <c r="F47" s="17"/>
      <c r="G47" s="17"/>
      <c r="H47" s="57" t="s">
        <v>156</v>
      </c>
      <c r="I47" s="5">
        <f>6.6*1.18</f>
        <v>7.787999999999999</v>
      </c>
      <c r="J47" s="5">
        <f>6.06*1.18</f>
        <v>7.150799999999999</v>
      </c>
      <c r="K47" s="22">
        <f>I47+J47</f>
        <v>14.938799999999999</v>
      </c>
    </row>
    <row r="48" spans="1:12" ht="12.75">
      <c r="A48" s="3"/>
      <c r="B48" s="3" t="s">
        <v>96</v>
      </c>
      <c r="C48" s="18">
        <v>13.22</v>
      </c>
      <c r="D48" s="18">
        <v>13.03</v>
      </c>
      <c r="E48" s="57">
        <f t="shared" si="1"/>
        <v>26.25</v>
      </c>
      <c r="F48" s="17"/>
      <c r="G48" s="17"/>
      <c r="H48" s="57"/>
      <c r="I48" s="5">
        <f>11.2*1.18</f>
        <v>13.216</v>
      </c>
      <c r="J48" s="5">
        <f>11.04*1.18</f>
        <v>13.027199999999999</v>
      </c>
      <c r="K48" s="22">
        <f>I48+J48</f>
        <v>26.243199999999998</v>
      </c>
      <c r="L48" t="s">
        <v>155</v>
      </c>
    </row>
    <row r="49" spans="1:13" ht="12.75">
      <c r="A49" s="3" t="s">
        <v>73</v>
      </c>
      <c r="B49" s="3" t="s">
        <v>24</v>
      </c>
      <c r="C49" s="18">
        <v>12</v>
      </c>
      <c r="D49" s="18">
        <v>15.6</v>
      </c>
      <c r="E49" s="57">
        <f t="shared" si="1"/>
        <v>27.6</v>
      </c>
      <c r="F49" s="17"/>
      <c r="G49" s="17"/>
      <c r="H49" s="57"/>
      <c r="I49" s="5">
        <f>10*1.18</f>
        <v>11.799999999999999</v>
      </c>
      <c r="J49" s="3">
        <f>13*1.18</f>
        <v>15.34</v>
      </c>
      <c r="K49" s="22">
        <f>I49+J49</f>
        <v>27.14</v>
      </c>
      <c r="M49" t="s">
        <v>153</v>
      </c>
    </row>
    <row r="50" spans="1:15" ht="12.75">
      <c r="A50" s="3" t="s">
        <v>98</v>
      </c>
      <c r="B50" s="1"/>
      <c r="C50" s="76">
        <v>7.1</v>
      </c>
      <c r="D50" s="18">
        <v>9.79</v>
      </c>
      <c r="E50" s="57">
        <f t="shared" si="1"/>
        <v>16.89</v>
      </c>
      <c r="F50" s="17"/>
      <c r="G50" s="17"/>
      <c r="H50" s="57"/>
      <c r="I50" s="1"/>
      <c r="J50" s="1"/>
      <c r="K50" s="1"/>
      <c r="O50" t="s">
        <v>154</v>
      </c>
    </row>
    <row r="51" spans="3:8" ht="12.75">
      <c r="C51" s="77"/>
      <c r="D51" s="77"/>
      <c r="E51" s="77"/>
      <c r="F51" s="77"/>
      <c r="G51" s="77"/>
      <c r="H51" s="78"/>
    </row>
    <row r="52" spans="3:8" ht="12.75">
      <c r="C52" s="34"/>
      <c r="D52" s="34"/>
      <c r="E52" s="34"/>
      <c r="F52" s="34"/>
      <c r="G52" s="34"/>
      <c r="H52" s="68"/>
    </row>
    <row r="53" spans="5:8" ht="12.75">
      <c r="E53" s="34"/>
      <c r="F53" s="34"/>
      <c r="G53" s="34"/>
      <c r="H53" s="34"/>
    </row>
    <row r="54" ht="12.75">
      <c r="E54" s="34"/>
    </row>
    <row r="55" ht="12.75">
      <c r="E55" s="34"/>
    </row>
    <row r="56" ht="12.75">
      <c r="E56" s="34"/>
    </row>
    <row r="57" ht="12.75">
      <c r="E57" s="34"/>
    </row>
    <row r="58" ht="12.75">
      <c r="E58" s="34"/>
    </row>
  </sheetData>
  <mergeCells count="3">
    <mergeCell ref="A2:K2"/>
    <mergeCell ref="A3:K3"/>
    <mergeCell ref="C4:E4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workbookViewId="0" topLeftCell="A13">
      <selection activeCell="G43" sqref="G43"/>
    </sheetView>
  </sheetViews>
  <sheetFormatPr defaultColWidth="9.140625" defaultRowHeight="12.75"/>
  <cols>
    <col min="1" max="1" width="1.421875" style="0" customWidth="1"/>
    <col min="2" max="2" width="19.8515625" style="0" customWidth="1"/>
    <col min="3" max="3" width="13.00390625" style="0" customWidth="1"/>
    <col min="4" max="4" width="6.57421875" style="0" customWidth="1"/>
    <col min="5" max="5" width="9.421875" style="0" customWidth="1"/>
    <col min="6" max="6" width="9.7109375" style="0" customWidth="1"/>
    <col min="9" max="9" width="11.5742187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93" t="s">
        <v>164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2.75">
      <c r="B3" s="94" t="s">
        <v>172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13.5" thickBot="1">
      <c r="B4" s="34"/>
      <c r="C4" s="34"/>
      <c r="D4" s="83"/>
      <c r="E4" s="84"/>
      <c r="F4" s="84"/>
      <c r="G4" s="34"/>
      <c r="H4" s="34"/>
      <c r="I4" s="34"/>
      <c r="J4" s="34"/>
      <c r="K4" s="34"/>
      <c r="L4" s="34"/>
    </row>
    <row r="5" spans="2:12" ht="12.75">
      <c r="B5" s="28"/>
      <c r="C5" s="29"/>
      <c r="D5" s="98" t="s">
        <v>220</v>
      </c>
      <c r="E5" s="99"/>
      <c r="F5" s="100"/>
      <c r="G5" s="81" t="s">
        <v>221</v>
      </c>
      <c r="H5" s="53" t="s">
        <v>222</v>
      </c>
      <c r="I5" s="38" t="s">
        <v>148</v>
      </c>
      <c r="J5" s="51" t="s">
        <v>0</v>
      </c>
      <c r="K5" s="30" t="s">
        <v>1</v>
      </c>
      <c r="L5" s="36" t="s">
        <v>80</v>
      </c>
    </row>
    <row r="6" spans="2:12" ht="12.75">
      <c r="B6" s="31"/>
      <c r="C6" s="20" t="s">
        <v>88</v>
      </c>
      <c r="D6" s="88"/>
      <c r="E6" s="86"/>
      <c r="F6" s="89"/>
      <c r="G6" s="82" t="s">
        <v>149</v>
      </c>
      <c r="H6" s="35" t="s">
        <v>149</v>
      </c>
      <c r="I6" s="39" t="s">
        <v>139</v>
      </c>
      <c r="J6" s="7"/>
      <c r="K6" s="10"/>
      <c r="L6" s="35" t="s">
        <v>81</v>
      </c>
    </row>
    <row r="7" spans="2:12" ht="12.75">
      <c r="B7" s="40" t="s">
        <v>3</v>
      </c>
      <c r="C7" s="20" t="s">
        <v>89</v>
      </c>
      <c r="D7" s="90" t="s">
        <v>0</v>
      </c>
      <c r="E7" s="15" t="s">
        <v>150</v>
      </c>
      <c r="F7" s="24" t="s">
        <v>219</v>
      </c>
      <c r="G7" s="87" t="s">
        <v>151</v>
      </c>
      <c r="H7" s="43" t="s">
        <v>151</v>
      </c>
      <c r="I7" s="39" t="s">
        <v>158</v>
      </c>
      <c r="J7" s="7"/>
      <c r="K7" s="10"/>
      <c r="L7" s="35" t="s">
        <v>82</v>
      </c>
    </row>
    <row r="8" spans="2:12" ht="13.5" thickBot="1">
      <c r="B8" s="32"/>
      <c r="C8" s="33"/>
      <c r="D8" s="91" t="s">
        <v>41</v>
      </c>
      <c r="E8" s="42" t="s">
        <v>41</v>
      </c>
      <c r="F8" s="37" t="s">
        <v>41</v>
      </c>
      <c r="G8" s="52" t="s">
        <v>41</v>
      </c>
      <c r="H8" s="42" t="s">
        <v>41</v>
      </c>
      <c r="I8" s="37" t="s">
        <v>41</v>
      </c>
      <c r="J8" s="52" t="s">
        <v>41</v>
      </c>
      <c r="K8" s="42" t="s">
        <v>41</v>
      </c>
      <c r="L8" s="42" t="s">
        <v>41</v>
      </c>
    </row>
    <row r="9" spans="2:12" ht="12.75">
      <c r="B9" s="16" t="s">
        <v>28</v>
      </c>
      <c r="C9" s="16" t="s">
        <v>10</v>
      </c>
      <c r="D9" s="16">
        <v>7.85</v>
      </c>
      <c r="E9" s="16">
        <v>21.5</v>
      </c>
      <c r="F9" s="67">
        <f>E9+D9</f>
        <v>29.35</v>
      </c>
      <c r="G9" s="16"/>
      <c r="H9" s="16"/>
      <c r="I9" s="16"/>
      <c r="J9" s="26">
        <f>6.61*1.18</f>
        <v>7.7998</v>
      </c>
      <c r="K9" s="26">
        <f>14.11*1.18</f>
        <v>16.6498</v>
      </c>
      <c r="L9" s="27">
        <f aca="true" t="shared" si="0" ref="L9:L23">J9+K9</f>
        <v>24.4496</v>
      </c>
    </row>
    <row r="10" spans="2:12" ht="12.75">
      <c r="B10" s="3" t="s">
        <v>56</v>
      </c>
      <c r="C10" s="3" t="s">
        <v>53</v>
      </c>
      <c r="D10" s="3">
        <v>11</v>
      </c>
      <c r="E10" s="3">
        <v>14</v>
      </c>
      <c r="F10" s="67">
        <f aca="true" t="shared" si="1" ref="F10:F48">E10+D10</f>
        <v>25</v>
      </c>
      <c r="G10" s="16"/>
      <c r="H10" s="16"/>
      <c r="I10" s="16"/>
      <c r="J10" s="5">
        <f>7.8*1.18</f>
        <v>9.203999999999999</v>
      </c>
      <c r="K10" s="5">
        <f>9.35*1.18</f>
        <v>11.033</v>
      </c>
      <c r="L10" s="22">
        <f t="shared" si="0"/>
        <v>20.237</v>
      </c>
    </row>
    <row r="11" spans="2:12" ht="12.75">
      <c r="B11" s="3" t="s">
        <v>57</v>
      </c>
      <c r="C11" s="3" t="s">
        <v>14</v>
      </c>
      <c r="D11" s="3">
        <v>13.95</v>
      </c>
      <c r="E11" s="3">
        <v>12.8</v>
      </c>
      <c r="F11" s="16">
        <f t="shared" si="1"/>
        <v>26.75</v>
      </c>
      <c r="G11" s="16">
        <f>13.95+1.04</f>
        <v>14.989999999999998</v>
      </c>
      <c r="H11" s="16">
        <f>12.8+1</f>
        <v>13.8</v>
      </c>
      <c r="I11" s="67">
        <f>SUM(G11:H11)</f>
        <v>28.79</v>
      </c>
      <c r="J11" s="5">
        <f>8.9*1.18</f>
        <v>10.502</v>
      </c>
      <c r="K11" s="5">
        <f>9.75*1.18</f>
        <v>11.504999999999999</v>
      </c>
      <c r="L11" s="22">
        <f t="shared" si="0"/>
        <v>22.006999999999998</v>
      </c>
    </row>
    <row r="12" spans="2:12" ht="12.75">
      <c r="B12" s="3" t="s">
        <v>58</v>
      </c>
      <c r="C12" s="9" t="s">
        <v>25</v>
      </c>
      <c r="D12" s="80">
        <v>11.15</v>
      </c>
      <c r="E12" s="80">
        <v>14.85</v>
      </c>
      <c r="F12" s="67">
        <f t="shared" si="1"/>
        <v>26</v>
      </c>
      <c r="G12" s="16"/>
      <c r="H12" s="16"/>
      <c r="I12" s="67"/>
      <c r="J12" s="5">
        <f>9.45*1.18</f>
        <v>11.150999999999998</v>
      </c>
      <c r="K12" s="5">
        <f>12.585*1.18</f>
        <v>14.8503</v>
      </c>
      <c r="L12" s="22">
        <f t="shared" si="0"/>
        <v>26.0013</v>
      </c>
    </row>
    <row r="13" spans="2:12" ht="12.75">
      <c r="B13" s="3" t="s">
        <v>74</v>
      </c>
      <c r="C13" s="3" t="s">
        <v>22</v>
      </c>
      <c r="D13" s="3">
        <v>9.44</v>
      </c>
      <c r="E13" s="3">
        <v>17.11</v>
      </c>
      <c r="F13" s="67">
        <f t="shared" si="1"/>
        <v>26.549999999999997</v>
      </c>
      <c r="G13" s="16"/>
      <c r="H13" s="16"/>
      <c r="I13" s="67"/>
      <c r="J13" s="5">
        <v>9.44</v>
      </c>
      <c r="K13" s="3">
        <v>13.57</v>
      </c>
      <c r="L13" s="22">
        <f t="shared" si="0"/>
        <v>23.009999999999998</v>
      </c>
    </row>
    <row r="14" spans="2:12" ht="12.75">
      <c r="B14" s="3" t="s">
        <v>75</v>
      </c>
      <c r="C14" s="3" t="s">
        <v>12</v>
      </c>
      <c r="D14" s="3">
        <v>8.5</v>
      </c>
      <c r="E14" s="3">
        <v>12</v>
      </c>
      <c r="F14" s="16">
        <f t="shared" si="1"/>
        <v>20.5</v>
      </c>
      <c r="G14" s="16">
        <f>8.5+2.28</f>
        <v>10.78</v>
      </c>
      <c r="H14" s="16">
        <f>12+1.81</f>
        <v>13.81</v>
      </c>
      <c r="I14" s="67">
        <f>SUM(G14:H14)</f>
        <v>24.59</v>
      </c>
      <c r="J14" s="5">
        <f>7.203*1.18</f>
        <v>8.49954</v>
      </c>
      <c r="K14" s="5">
        <f>10.17*1.18</f>
        <v>12.000599999999999</v>
      </c>
      <c r="L14" s="22">
        <f t="shared" si="0"/>
        <v>20.50014</v>
      </c>
    </row>
    <row r="15" spans="2:12" ht="12.75">
      <c r="B15" s="3" t="s">
        <v>76</v>
      </c>
      <c r="C15" s="3" t="s">
        <v>20</v>
      </c>
      <c r="D15" s="3">
        <v>6.5</v>
      </c>
      <c r="E15" s="3">
        <v>13</v>
      </c>
      <c r="F15" s="16">
        <f t="shared" si="1"/>
        <v>19.5</v>
      </c>
      <c r="G15" s="16">
        <f>6.5+1.18</f>
        <v>7.68</v>
      </c>
      <c r="H15" s="16">
        <f>13+0.6</f>
        <v>13.6</v>
      </c>
      <c r="I15" s="67">
        <f>SUM(G15:H15)</f>
        <v>21.28</v>
      </c>
      <c r="J15" s="5">
        <v>6.5</v>
      </c>
      <c r="K15" s="5">
        <v>13</v>
      </c>
      <c r="L15" s="22">
        <f t="shared" si="0"/>
        <v>19.5</v>
      </c>
    </row>
    <row r="16" spans="2:12" ht="12.75">
      <c r="B16" s="3"/>
      <c r="C16" s="3" t="s">
        <v>111</v>
      </c>
      <c r="D16" s="3">
        <v>8.4</v>
      </c>
      <c r="E16" s="3">
        <v>8.4</v>
      </c>
      <c r="F16" s="67">
        <f t="shared" si="1"/>
        <v>16.8</v>
      </c>
      <c r="G16" s="16"/>
      <c r="H16" s="16"/>
      <c r="I16" s="67"/>
      <c r="J16" s="5"/>
      <c r="K16" s="5"/>
      <c r="L16" s="22"/>
    </row>
    <row r="17" spans="2:12" ht="12.75">
      <c r="B17" s="3" t="s">
        <v>77</v>
      </c>
      <c r="C17" s="3" t="s">
        <v>78</v>
      </c>
      <c r="D17" s="3">
        <v>13</v>
      </c>
      <c r="E17" s="3">
        <v>17</v>
      </c>
      <c r="F17" s="67">
        <f t="shared" si="1"/>
        <v>30</v>
      </c>
      <c r="G17" s="16"/>
      <c r="H17" s="16"/>
      <c r="I17" s="67"/>
      <c r="J17" s="5">
        <f>9.32*1.18</f>
        <v>10.9976</v>
      </c>
      <c r="K17" s="5">
        <f>12.71*1.18</f>
        <v>14.9978</v>
      </c>
      <c r="L17" s="22">
        <f t="shared" si="0"/>
        <v>25.9954</v>
      </c>
    </row>
    <row r="18" spans="2:12" ht="12.75">
      <c r="B18" s="3" t="s">
        <v>59</v>
      </c>
      <c r="C18" s="3" t="s">
        <v>9</v>
      </c>
      <c r="D18" s="3">
        <v>10</v>
      </c>
      <c r="E18" s="3">
        <v>13</v>
      </c>
      <c r="F18" s="16">
        <f t="shared" si="1"/>
        <v>23</v>
      </c>
      <c r="G18" s="16">
        <f>9+1.09+1</f>
        <v>11.09</v>
      </c>
      <c r="H18" s="16">
        <f>12+1.07+1</f>
        <v>14.07</v>
      </c>
      <c r="I18" s="67">
        <f>SUM(G18:H18)</f>
        <v>25.16</v>
      </c>
      <c r="J18" s="5">
        <v>9</v>
      </c>
      <c r="K18" s="5">
        <v>12</v>
      </c>
      <c r="L18" s="22">
        <f t="shared" si="0"/>
        <v>21</v>
      </c>
    </row>
    <row r="19" spans="2:12" ht="12.75">
      <c r="B19" s="3" t="s">
        <v>60</v>
      </c>
      <c r="C19" s="3" t="s">
        <v>18</v>
      </c>
      <c r="D19" s="3">
        <v>10</v>
      </c>
      <c r="E19" s="3">
        <v>13</v>
      </c>
      <c r="F19" s="16">
        <f t="shared" si="1"/>
        <v>23</v>
      </c>
      <c r="G19" s="16">
        <f>10+2.96</f>
        <v>12.96</v>
      </c>
      <c r="H19" s="16">
        <f>13+3.21</f>
        <v>16.21</v>
      </c>
      <c r="I19" s="67">
        <f>SUM(G19:H19)</f>
        <v>29.17</v>
      </c>
      <c r="J19" s="5">
        <f>8.47*1.18</f>
        <v>9.9946</v>
      </c>
      <c r="K19" s="5">
        <f>11.02*1.18</f>
        <v>13.003599999999999</v>
      </c>
      <c r="L19" s="22">
        <f t="shared" si="0"/>
        <v>22.998199999999997</v>
      </c>
    </row>
    <row r="20" spans="2:12" ht="12.75">
      <c r="B20" s="3" t="s">
        <v>61</v>
      </c>
      <c r="C20" s="3" t="s">
        <v>19</v>
      </c>
      <c r="D20" s="3">
        <v>10</v>
      </c>
      <c r="E20" s="3">
        <v>14.5</v>
      </c>
      <c r="F20" s="67">
        <f t="shared" si="1"/>
        <v>24.5</v>
      </c>
      <c r="G20" s="16"/>
      <c r="H20" s="16"/>
      <c r="I20" s="67"/>
      <c r="J20" s="5">
        <v>9.4</v>
      </c>
      <c r="K20" s="5">
        <v>12.7</v>
      </c>
      <c r="L20" s="22">
        <f t="shared" si="0"/>
        <v>22.1</v>
      </c>
    </row>
    <row r="21" spans="2:12" ht="12.75">
      <c r="B21" s="3" t="s">
        <v>173</v>
      </c>
      <c r="C21" s="3" t="s">
        <v>11</v>
      </c>
      <c r="D21" s="3">
        <v>8.5</v>
      </c>
      <c r="E21" s="3">
        <v>13.22</v>
      </c>
      <c r="F21" s="16">
        <f t="shared" si="1"/>
        <v>21.72</v>
      </c>
      <c r="G21" s="16">
        <f>8.5+2.15</f>
        <v>10.65</v>
      </c>
      <c r="H21" s="16">
        <f>13.22+2.1</f>
        <v>15.32</v>
      </c>
      <c r="I21" s="67">
        <f>SUM(G21:H21)</f>
        <v>25.97</v>
      </c>
      <c r="J21" s="5">
        <f>7.2*1.18</f>
        <v>8.496</v>
      </c>
      <c r="K21" s="3">
        <v>13.22</v>
      </c>
      <c r="L21" s="22">
        <f t="shared" si="0"/>
        <v>21.716</v>
      </c>
    </row>
    <row r="22" spans="2:12" ht="12.75">
      <c r="B22" s="3" t="s">
        <v>174</v>
      </c>
      <c r="C22" s="3" t="s">
        <v>26</v>
      </c>
      <c r="D22" s="3">
        <v>12.98</v>
      </c>
      <c r="E22" s="3">
        <v>13.81</v>
      </c>
      <c r="F22" s="67">
        <f t="shared" si="1"/>
        <v>26.79</v>
      </c>
      <c r="G22" s="16"/>
      <c r="H22" s="16"/>
      <c r="I22" s="67"/>
      <c r="J22" s="5">
        <v>12.5</v>
      </c>
      <c r="K22" s="5">
        <v>13.33</v>
      </c>
      <c r="L22" s="22">
        <f t="shared" si="0"/>
        <v>25.83</v>
      </c>
    </row>
    <row r="23" spans="2:12" ht="12.75">
      <c r="B23" s="3" t="s">
        <v>175</v>
      </c>
      <c r="C23" s="3" t="s">
        <v>103</v>
      </c>
      <c r="D23" s="3">
        <v>7</v>
      </c>
      <c r="E23" s="3">
        <v>13</v>
      </c>
      <c r="F23" s="67">
        <f t="shared" si="1"/>
        <v>20</v>
      </c>
      <c r="G23" s="16"/>
      <c r="H23" s="16"/>
      <c r="I23" s="67"/>
      <c r="J23" s="5">
        <v>7</v>
      </c>
      <c r="K23" s="5">
        <v>13</v>
      </c>
      <c r="L23" s="22">
        <f t="shared" si="0"/>
        <v>20</v>
      </c>
    </row>
    <row r="24" spans="2:12" ht="12.75">
      <c r="B24" s="3"/>
      <c r="C24" s="3" t="s">
        <v>92</v>
      </c>
      <c r="D24" s="3">
        <v>6.9</v>
      </c>
      <c r="E24" s="3">
        <v>7.1</v>
      </c>
      <c r="F24" s="67">
        <f t="shared" si="1"/>
        <v>14</v>
      </c>
      <c r="G24" s="16"/>
      <c r="H24" s="16"/>
      <c r="I24" s="67"/>
      <c r="J24" s="5">
        <f>5.85*1.18</f>
        <v>6.903</v>
      </c>
      <c r="K24" s="5">
        <f>6.9*1.18</f>
        <v>8.142</v>
      </c>
      <c r="L24" s="22">
        <f>SUM(J24:K24)</f>
        <v>15.044999999999998</v>
      </c>
    </row>
    <row r="25" spans="2:12" ht="12.75">
      <c r="B25" s="3"/>
      <c r="C25" s="3" t="s">
        <v>102</v>
      </c>
      <c r="D25" s="3">
        <v>14</v>
      </c>
      <c r="E25" s="3">
        <v>14</v>
      </c>
      <c r="F25" s="67">
        <f t="shared" si="1"/>
        <v>28</v>
      </c>
      <c r="G25" s="16"/>
      <c r="H25" s="16"/>
      <c r="I25" s="67"/>
      <c r="J25" s="5"/>
      <c r="K25" s="5"/>
      <c r="L25" s="22"/>
    </row>
    <row r="26" spans="2:12" ht="12.75">
      <c r="B26" s="3" t="s">
        <v>176</v>
      </c>
      <c r="C26" s="3" t="s">
        <v>6</v>
      </c>
      <c r="D26" s="3">
        <v>10.5</v>
      </c>
      <c r="E26" s="3">
        <v>15.3</v>
      </c>
      <c r="F26" s="67">
        <f t="shared" si="1"/>
        <v>25.8</v>
      </c>
      <c r="G26" s="16"/>
      <c r="H26" s="16"/>
      <c r="I26" s="67"/>
      <c r="J26" s="5">
        <f>8.9*1.18</f>
        <v>10.502</v>
      </c>
      <c r="K26" s="5">
        <v>15.3</v>
      </c>
      <c r="L26" s="22">
        <f aca="true" t="shared" si="2" ref="L26:L33">J26+K26</f>
        <v>25.802</v>
      </c>
    </row>
    <row r="27" spans="2:12" ht="12.75">
      <c r="B27" s="3" t="s">
        <v>86</v>
      </c>
      <c r="C27" s="3" t="s">
        <v>87</v>
      </c>
      <c r="D27" s="3">
        <v>8.14</v>
      </c>
      <c r="E27" s="3">
        <v>14.6</v>
      </c>
      <c r="F27" s="67">
        <f t="shared" si="1"/>
        <v>22.740000000000002</v>
      </c>
      <c r="G27" s="16"/>
      <c r="H27" s="16"/>
      <c r="I27" s="67"/>
      <c r="J27" s="5">
        <v>8.14</v>
      </c>
      <c r="K27" s="5">
        <v>14.6</v>
      </c>
      <c r="L27" s="22">
        <f t="shared" si="2"/>
        <v>22.740000000000002</v>
      </c>
    </row>
    <row r="28" spans="2:12" ht="12.75">
      <c r="B28" s="3" t="s">
        <v>177</v>
      </c>
      <c r="C28" s="3" t="s">
        <v>8</v>
      </c>
      <c r="D28" s="3"/>
      <c r="E28" s="3"/>
      <c r="F28" s="67">
        <f t="shared" si="1"/>
        <v>0</v>
      </c>
      <c r="G28" s="16"/>
      <c r="H28" s="16"/>
      <c r="I28" s="67"/>
      <c r="J28" s="5">
        <v>12.21</v>
      </c>
      <c r="K28" s="5">
        <v>8.6</v>
      </c>
      <c r="L28" s="22">
        <f t="shared" si="2"/>
        <v>20.810000000000002</v>
      </c>
    </row>
    <row r="29" spans="2:12" ht="12.75">
      <c r="B29" s="3" t="s">
        <v>90</v>
      </c>
      <c r="C29" s="3"/>
      <c r="D29" s="3">
        <v>13</v>
      </c>
      <c r="E29" s="3">
        <v>9</v>
      </c>
      <c r="F29" s="67">
        <f t="shared" si="1"/>
        <v>22</v>
      </c>
      <c r="G29" s="16"/>
      <c r="H29" s="16"/>
      <c r="I29" s="67"/>
      <c r="J29" s="5">
        <v>13</v>
      </c>
      <c r="K29" s="5">
        <v>9</v>
      </c>
      <c r="L29" s="22">
        <f t="shared" si="2"/>
        <v>22</v>
      </c>
    </row>
    <row r="30" spans="2:12" ht="12.75">
      <c r="B30" s="3" t="s">
        <v>91</v>
      </c>
      <c r="C30" s="3"/>
      <c r="D30" s="3">
        <v>12</v>
      </c>
      <c r="E30" s="3">
        <v>8.5</v>
      </c>
      <c r="F30" s="67">
        <f t="shared" si="1"/>
        <v>20.5</v>
      </c>
      <c r="G30" s="16"/>
      <c r="H30" s="16"/>
      <c r="I30" s="67"/>
      <c r="J30" s="5">
        <v>13.5</v>
      </c>
      <c r="K30" s="5">
        <v>8.5</v>
      </c>
      <c r="L30" s="22">
        <f t="shared" si="2"/>
        <v>22</v>
      </c>
    </row>
    <row r="31" spans="2:12" ht="12.75">
      <c r="B31" s="3" t="s">
        <v>178</v>
      </c>
      <c r="C31" s="3" t="s">
        <v>17</v>
      </c>
      <c r="D31" s="3">
        <v>12.6</v>
      </c>
      <c r="E31" s="3">
        <v>14.4</v>
      </c>
      <c r="F31" s="67">
        <f t="shared" si="1"/>
        <v>27</v>
      </c>
      <c r="G31" s="16"/>
      <c r="H31" s="16"/>
      <c r="I31" s="67"/>
      <c r="J31" s="5">
        <f>10.68*1.18</f>
        <v>12.6024</v>
      </c>
      <c r="K31" s="5">
        <f>12.2*1.18</f>
        <v>14.395999999999999</v>
      </c>
      <c r="L31" s="22">
        <f t="shared" si="2"/>
        <v>26.998399999999997</v>
      </c>
    </row>
    <row r="32" spans="2:12" ht="12.75">
      <c r="B32" s="3"/>
      <c r="C32" s="3" t="s">
        <v>93</v>
      </c>
      <c r="D32" s="3">
        <v>12.6</v>
      </c>
      <c r="E32" s="3">
        <v>14.4</v>
      </c>
      <c r="F32" s="67">
        <f t="shared" si="1"/>
        <v>27</v>
      </c>
      <c r="G32" s="16"/>
      <c r="H32" s="16"/>
      <c r="I32" s="67"/>
      <c r="J32" s="5">
        <v>12.6</v>
      </c>
      <c r="K32" s="5">
        <f>12.2*1.18</f>
        <v>14.395999999999999</v>
      </c>
      <c r="L32" s="22">
        <f t="shared" si="2"/>
        <v>26.996</v>
      </c>
    </row>
    <row r="33" spans="2:12" ht="12.75">
      <c r="B33" s="3"/>
      <c r="C33" s="3" t="s">
        <v>94</v>
      </c>
      <c r="D33" s="3">
        <v>9.61</v>
      </c>
      <c r="E33" s="3">
        <v>14.4</v>
      </c>
      <c r="F33" s="67">
        <f t="shared" si="1"/>
        <v>24.009999999999998</v>
      </c>
      <c r="G33" s="16"/>
      <c r="H33" s="16"/>
      <c r="I33" s="67"/>
      <c r="J33" s="5">
        <f>8.14*1.18</f>
        <v>9.6052</v>
      </c>
      <c r="K33" s="5">
        <f>12.2*1.18</f>
        <v>14.395999999999999</v>
      </c>
      <c r="L33" s="22">
        <f t="shared" si="2"/>
        <v>24.001199999999997</v>
      </c>
    </row>
    <row r="34" spans="2:12" ht="12.75">
      <c r="B34" s="3" t="s">
        <v>179</v>
      </c>
      <c r="C34" s="3" t="s">
        <v>49</v>
      </c>
      <c r="D34" s="3">
        <v>7.67</v>
      </c>
      <c r="E34" s="3">
        <v>5.63</v>
      </c>
      <c r="F34" s="16">
        <f t="shared" si="1"/>
        <v>13.3</v>
      </c>
      <c r="G34" s="16">
        <f>7.67+0.18</f>
        <v>7.85</v>
      </c>
      <c r="H34" s="16">
        <f>5.63+0.18</f>
        <v>5.81</v>
      </c>
      <c r="I34" s="67">
        <f>SUM(G34:H34)</f>
        <v>13.66</v>
      </c>
      <c r="J34" s="5">
        <v>5.18</v>
      </c>
      <c r="K34" s="5">
        <v>4.9</v>
      </c>
      <c r="L34" s="22">
        <f aca="true" t="shared" si="3" ref="L34:L43">J34+K34</f>
        <v>10.08</v>
      </c>
    </row>
    <row r="35" spans="2:12" ht="12.75">
      <c r="B35" s="3" t="s">
        <v>180</v>
      </c>
      <c r="C35" s="3" t="s">
        <v>21</v>
      </c>
      <c r="D35" s="3">
        <v>12.27</v>
      </c>
      <c r="E35" s="3">
        <v>16.52</v>
      </c>
      <c r="F35" s="67">
        <f t="shared" si="1"/>
        <v>28.79</v>
      </c>
      <c r="G35" s="16"/>
      <c r="H35" s="16"/>
      <c r="I35" s="67"/>
      <c r="J35" s="5">
        <v>10.7</v>
      </c>
      <c r="K35" s="3">
        <v>14.75</v>
      </c>
      <c r="L35" s="22">
        <f t="shared" si="3"/>
        <v>25.45</v>
      </c>
    </row>
    <row r="36" spans="2:12" ht="12.75">
      <c r="B36" s="3" t="s">
        <v>181</v>
      </c>
      <c r="C36" s="3" t="s">
        <v>29</v>
      </c>
      <c r="D36" s="3">
        <v>14.17</v>
      </c>
      <c r="E36" s="3">
        <v>11.47</v>
      </c>
      <c r="F36" s="16">
        <f t="shared" si="1"/>
        <v>25.64</v>
      </c>
      <c r="G36" s="16">
        <v>14.17</v>
      </c>
      <c r="H36" s="16">
        <v>11.47</v>
      </c>
      <c r="I36" s="67">
        <f>SUM(G36:H36)</f>
        <v>25.64</v>
      </c>
      <c r="J36" s="5">
        <v>12.79</v>
      </c>
      <c r="K36" s="5">
        <v>10.35</v>
      </c>
      <c r="L36" s="22">
        <f t="shared" si="3"/>
        <v>23.14</v>
      </c>
    </row>
    <row r="37" spans="2:12" ht="12.75">
      <c r="B37" s="3" t="s">
        <v>182</v>
      </c>
      <c r="C37" s="3" t="s">
        <v>16</v>
      </c>
      <c r="D37" s="3">
        <v>11.5</v>
      </c>
      <c r="E37" s="3">
        <v>13.9</v>
      </c>
      <c r="F37" s="67">
        <f t="shared" si="1"/>
        <v>25.4</v>
      </c>
      <c r="G37" s="16"/>
      <c r="H37" s="16"/>
      <c r="I37" s="67"/>
      <c r="J37" s="5">
        <v>11</v>
      </c>
      <c r="K37" s="5">
        <v>12.6</v>
      </c>
      <c r="L37" s="22">
        <f t="shared" si="3"/>
        <v>23.6</v>
      </c>
    </row>
    <row r="38" spans="2:12" ht="12.75">
      <c r="B38" s="3" t="s">
        <v>183</v>
      </c>
      <c r="C38" s="3" t="s">
        <v>4</v>
      </c>
      <c r="D38" s="3">
        <v>10.8</v>
      </c>
      <c r="E38" s="3">
        <v>13.2</v>
      </c>
      <c r="F38" s="67">
        <f t="shared" si="1"/>
        <v>24</v>
      </c>
      <c r="G38" s="16"/>
      <c r="H38" s="16"/>
      <c r="I38" s="67"/>
      <c r="J38" s="5">
        <f>9.15*1.18</f>
        <v>10.797</v>
      </c>
      <c r="K38" s="5">
        <f>11.19*1.18</f>
        <v>13.204199999999998</v>
      </c>
      <c r="L38" s="22">
        <f t="shared" si="3"/>
        <v>24.001199999999997</v>
      </c>
    </row>
    <row r="39" spans="2:12" ht="12.75">
      <c r="B39" s="3" t="s">
        <v>184</v>
      </c>
      <c r="C39" s="3" t="s">
        <v>170</v>
      </c>
      <c r="D39" s="3">
        <v>10.62</v>
      </c>
      <c r="E39" s="3">
        <v>15.34</v>
      </c>
      <c r="F39" s="67">
        <f t="shared" si="1"/>
        <v>25.96</v>
      </c>
      <c r="G39" s="16"/>
      <c r="H39" s="16"/>
      <c r="I39" s="67"/>
      <c r="J39" s="5"/>
      <c r="K39" s="5"/>
      <c r="L39" s="22"/>
    </row>
    <row r="40" spans="2:12" ht="12.75">
      <c r="B40" s="3" t="s">
        <v>68</v>
      </c>
      <c r="C40" s="3" t="s">
        <v>15</v>
      </c>
      <c r="D40" s="3">
        <v>8.91</v>
      </c>
      <c r="E40" s="3">
        <v>13.11</v>
      </c>
      <c r="F40" s="67">
        <f t="shared" si="1"/>
        <v>22.02</v>
      </c>
      <c r="G40" s="16"/>
      <c r="H40" s="16"/>
      <c r="I40" s="67"/>
      <c r="J40" s="5">
        <v>8.01</v>
      </c>
      <c r="K40" s="5">
        <v>11.48</v>
      </c>
      <c r="L40" s="22">
        <f t="shared" si="3"/>
        <v>19.490000000000002</v>
      </c>
    </row>
    <row r="41" spans="2:12" ht="12.75">
      <c r="B41" s="3" t="s">
        <v>69</v>
      </c>
      <c r="C41" s="3" t="s">
        <v>50</v>
      </c>
      <c r="D41" s="3">
        <v>12.4</v>
      </c>
      <c r="E41" s="3">
        <v>15.3</v>
      </c>
      <c r="F41" s="67">
        <f t="shared" si="1"/>
        <v>27.700000000000003</v>
      </c>
      <c r="G41" s="16"/>
      <c r="H41" s="16"/>
      <c r="I41" s="67"/>
      <c r="J41" s="5">
        <v>12.4</v>
      </c>
      <c r="K41" s="5">
        <v>15.3</v>
      </c>
      <c r="L41" s="22">
        <f t="shared" si="3"/>
        <v>27.700000000000003</v>
      </c>
    </row>
    <row r="42" spans="2:12" ht="12.75">
      <c r="B42" s="3" t="s">
        <v>70</v>
      </c>
      <c r="C42" s="3" t="s">
        <v>7</v>
      </c>
      <c r="D42" s="3">
        <v>10.62</v>
      </c>
      <c r="E42" s="3">
        <v>13.57</v>
      </c>
      <c r="F42" s="67">
        <f t="shared" si="1"/>
        <v>24.189999999999998</v>
      </c>
      <c r="G42" s="16"/>
      <c r="H42" s="16"/>
      <c r="I42" s="67"/>
      <c r="J42" s="5">
        <v>9</v>
      </c>
      <c r="K42" s="5">
        <v>12</v>
      </c>
      <c r="L42" s="22">
        <f t="shared" si="3"/>
        <v>21</v>
      </c>
    </row>
    <row r="43" spans="2:12" ht="12.75">
      <c r="B43" s="3" t="s">
        <v>71</v>
      </c>
      <c r="C43" s="3" t="s">
        <v>5</v>
      </c>
      <c r="D43" s="3">
        <v>8.45</v>
      </c>
      <c r="E43" s="3">
        <v>8.45</v>
      </c>
      <c r="F43" s="16">
        <f t="shared" si="1"/>
        <v>16.9</v>
      </c>
      <c r="G43" s="16">
        <v>8.5</v>
      </c>
      <c r="H43" s="16">
        <v>8.45</v>
      </c>
      <c r="I43" s="67">
        <f>SUM(G43:H43)</f>
        <v>16.95</v>
      </c>
      <c r="J43" s="5">
        <v>8.45</v>
      </c>
      <c r="K43" s="5">
        <v>8.45</v>
      </c>
      <c r="L43" s="22">
        <f t="shared" si="3"/>
        <v>16.9</v>
      </c>
    </row>
    <row r="44" spans="2:12" ht="12.75">
      <c r="B44" s="3" t="s">
        <v>72</v>
      </c>
      <c r="C44" s="3"/>
      <c r="D44" s="3"/>
      <c r="E44" s="3"/>
      <c r="F44" s="67">
        <f t="shared" si="1"/>
        <v>0</v>
      </c>
      <c r="G44" s="16"/>
      <c r="H44" s="16"/>
      <c r="I44" s="67"/>
      <c r="J44" s="5"/>
      <c r="K44" s="3"/>
      <c r="L44" s="22"/>
    </row>
    <row r="45" spans="2:12" ht="12.75">
      <c r="B45" s="3"/>
      <c r="C45" s="3" t="s">
        <v>95</v>
      </c>
      <c r="D45" s="3">
        <v>10.5</v>
      </c>
      <c r="E45" s="3">
        <v>14.5</v>
      </c>
      <c r="F45" s="67">
        <f t="shared" si="1"/>
        <v>25</v>
      </c>
      <c r="G45" s="16"/>
      <c r="H45" s="16"/>
      <c r="I45" s="67"/>
      <c r="J45" s="5">
        <f>6.6*1.18</f>
        <v>7.787999999999999</v>
      </c>
      <c r="K45" s="5">
        <f>6.06*1.18</f>
        <v>7.150799999999999</v>
      </c>
      <c r="L45" s="22">
        <f>J45+K45</f>
        <v>14.938799999999999</v>
      </c>
    </row>
    <row r="46" spans="2:12" ht="12.75">
      <c r="B46" s="3"/>
      <c r="C46" s="3" t="s">
        <v>96</v>
      </c>
      <c r="D46" s="3">
        <v>13.22</v>
      </c>
      <c r="E46" s="3">
        <v>13.03</v>
      </c>
      <c r="F46" s="67">
        <f t="shared" si="1"/>
        <v>26.25</v>
      </c>
      <c r="G46" s="16"/>
      <c r="H46" s="16"/>
      <c r="I46" s="67"/>
      <c r="J46" s="5">
        <f>11.2*1.18</f>
        <v>13.216</v>
      </c>
      <c r="K46" s="5">
        <f>11.04*1.18</f>
        <v>13.027199999999999</v>
      </c>
      <c r="L46" s="22">
        <f>J46+K46</f>
        <v>26.243199999999998</v>
      </c>
    </row>
    <row r="47" spans="2:12" ht="12.75">
      <c r="B47" s="3" t="s">
        <v>73</v>
      </c>
      <c r="C47" s="3" t="s">
        <v>24</v>
      </c>
      <c r="D47" s="3">
        <v>10.04</v>
      </c>
      <c r="E47" s="3">
        <v>12.65</v>
      </c>
      <c r="F47" s="67">
        <f t="shared" si="1"/>
        <v>22.689999999999998</v>
      </c>
      <c r="G47" s="16"/>
      <c r="H47" s="16"/>
      <c r="I47" s="16"/>
      <c r="J47" s="5">
        <v>8</v>
      </c>
      <c r="K47" s="3">
        <v>10.62</v>
      </c>
      <c r="L47" s="22">
        <f>J47+K47</f>
        <v>18.619999999999997</v>
      </c>
    </row>
    <row r="48" spans="2:12" ht="12.75">
      <c r="B48" s="3" t="s">
        <v>98</v>
      </c>
      <c r="C48" s="1"/>
      <c r="D48" s="79">
        <v>7.1</v>
      </c>
      <c r="E48" s="3">
        <v>9.79</v>
      </c>
      <c r="F48" s="67">
        <f t="shared" si="1"/>
        <v>16.89</v>
      </c>
      <c r="G48" s="16"/>
      <c r="H48" s="16"/>
      <c r="I48" s="16"/>
      <c r="J48" s="1"/>
      <c r="K48" s="1"/>
      <c r="L48" s="1"/>
    </row>
  </sheetData>
  <mergeCells count="3">
    <mergeCell ref="B2:L2"/>
    <mergeCell ref="B3:L3"/>
    <mergeCell ref="D5:F5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7"/>
  <sheetViews>
    <sheetView workbookViewId="0" topLeftCell="A1">
      <selection activeCell="B39" sqref="B39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3" spans="2:6" ht="12.75">
      <c r="B3" s="93" t="s">
        <v>130</v>
      </c>
      <c r="C3" s="93"/>
      <c r="D3" s="93"/>
      <c r="E3" s="93"/>
      <c r="F3" s="93"/>
    </row>
    <row r="4" spans="2:6" ht="14.25">
      <c r="B4" s="93" t="s">
        <v>106</v>
      </c>
      <c r="C4" s="93"/>
      <c r="D4" s="93"/>
      <c r="E4" s="93"/>
      <c r="F4" s="93"/>
    </row>
    <row r="5" spans="2:6" ht="12.75">
      <c r="B5" s="11" t="s">
        <v>3</v>
      </c>
      <c r="C5" s="7"/>
      <c r="D5" s="11"/>
      <c r="E5" s="11"/>
      <c r="F5" s="25"/>
    </row>
    <row r="6" spans="2:6" ht="12.75">
      <c r="B6" s="17"/>
      <c r="C6" s="35"/>
      <c r="D6" s="17" t="s">
        <v>2</v>
      </c>
      <c r="E6" s="17" t="s">
        <v>131</v>
      </c>
      <c r="F6" s="60"/>
    </row>
    <row r="7" spans="2:6" ht="12.75">
      <c r="B7" s="16" t="s">
        <v>84</v>
      </c>
      <c r="C7" s="16" t="s">
        <v>29</v>
      </c>
      <c r="D7" s="26">
        <v>34.35</v>
      </c>
      <c r="E7" s="26">
        <v>25.48</v>
      </c>
      <c r="F7" s="22">
        <f>D7+E7</f>
        <v>59.83</v>
      </c>
    </row>
    <row r="8" spans="2:6" ht="12.75">
      <c r="B8" s="3" t="s">
        <v>48</v>
      </c>
      <c r="C8" s="3" t="s">
        <v>21</v>
      </c>
      <c r="D8" s="5">
        <v>23.6</v>
      </c>
      <c r="E8" s="3">
        <v>33.04</v>
      </c>
      <c r="F8" s="22">
        <f aca="true" t="shared" si="0" ref="F8:F36">D8+E8</f>
        <v>56.64</v>
      </c>
    </row>
    <row r="9" spans="2:6" ht="12.75">
      <c r="B9" s="3" t="s">
        <v>35</v>
      </c>
      <c r="C9" s="3" t="s">
        <v>26</v>
      </c>
      <c r="D9" s="5">
        <v>17.7</v>
      </c>
      <c r="E9" s="5">
        <v>17.7</v>
      </c>
      <c r="F9" s="22">
        <f t="shared" si="0"/>
        <v>35.4</v>
      </c>
    </row>
    <row r="10" spans="2:6" ht="12.75">
      <c r="B10" s="3" t="s">
        <v>133</v>
      </c>
      <c r="C10" s="3" t="s">
        <v>112</v>
      </c>
      <c r="D10" s="5">
        <v>16.05</v>
      </c>
      <c r="E10" s="5">
        <v>16.59</v>
      </c>
      <c r="F10" s="22">
        <f t="shared" si="0"/>
        <v>32.64</v>
      </c>
    </row>
    <row r="11" spans="2:6" ht="12.75">
      <c r="B11" s="3" t="s">
        <v>83</v>
      </c>
      <c r="C11" s="3" t="s">
        <v>78</v>
      </c>
      <c r="D11" s="5">
        <v>15.58</v>
      </c>
      <c r="E11" s="5">
        <v>24.78</v>
      </c>
      <c r="F11" s="22">
        <f t="shared" si="0"/>
        <v>40.36</v>
      </c>
    </row>
    <row r="12" spans="2:6" ht="12.75">
      <c r="B12" s="3" t="s">
        <v>45</v>
      </c>
      <c r="C12" s="3" t="s">
        <v>14</v>
      </c>
      <c r="D12" s="5">
        <v>15.01</v>
      </c>
      <c r="E12" s="5">
        <v>13.97</v>
      </c>
      <c r="F12" s="22">
        <f t="shared" si="0"/>
        <v>28.98</v>
      </c>
    </row>
    <row r="13" spans="2:6" ht="12.75">
      <c r="B13" s="3" t="s">
        <v>33</v>
      </c>
      <c r="C13" s="3" t="s">
        <v>9</v>
      </c>
      <c r="D13" s="5">
        <v>14.47</v>
      </c>
      <c r="E13" s="5">
        <v>18.42</v>
      </c>
      <c r="F13" s="22">
        <f t="shared" si="0"/>
        <v>32.89</v>
      </c>
    </row>
    <row r="14" spans="2:6" ht="12.75">
      <c r="B14" s="3" t="s">
        <v>51</v>
      </c>
      <c r="C14" s="3" t="s">
        <v>49</v>
      </c>
      <c r="D14" s="5">
        <v>13.79</v>
      </c>
      <c r="E14" s="5">
        <v>13.15</v>
      </c>
      <c r="F14" s="22">
        <f t="shared" si="0"/>
        <v>26.939999999999998</v>
      </c>
    </row>
    <row r="15" spans="2:6" ht="12.75">
      <c r="B15" s="3" t="s">
        <v>36</v>
      </c>
      <c r="C15" s="3" t="s">
        <v>16</v>
      </c>
      <c r="D15" s="5">
        <v>13.6</v>
      </c>
      <c r="E15" s="5">
        <v>16.4</v>
      </c>
      <c r="F15" s="22">
        <f t="shared" si="0"/>
        <v>30</v>
      </c>
    </row>
    <row r="16" spans="2:6" ht="12.75">
      <c r="B16" s="3" t="s">
        <v>124</v>
      </c>
      <c r="C16" s="3" t="s">
        <v>104</v>
      </c>
      <c r="D16" s="5">
        <v>13.5</v>
      </c>
      <c r="E16" s="5">
        <v>10.5</v>
      </c>
      <c r="F16" s="22">
        <f t="shared" si="0"/>
        <v>24</v>
      </c>
    </row>
    <row r="17" spans="2:6" ht="12.75">
      <c r="B17" s="3" t="s">
        <v>52</v>
      </c>
      <c r="C17" s="3" t="s">
        <v>50</v>
      </c>
      <c r="D17" s="5">
        <v>13.5</v>
      </c>
      <c r="E17" s="5">
        <v>18.5</v>
      </c>
      <c r="F17" s="22">
        <f t="shared" si="0"/>
        <v>32</v>
      </c>
    </row>
    <row r="18" spans="2:6" ht="12.75">
      <c r="B18" s="59" t="s">
        <v>27</v>
      </c>
      <c r="C18" s="3"/>
      <c r="D18" s="5">
        <v>13.37</v>
      </c>
      <c r="E18" s="5">
        <v>19.01</v>
      </c>
      <c r="F18" s="22">
        <f t="shared" si="0"/>
        <v>32.38</v>
      </c>
    </row>
    <row r="19" spans="2:6" ht="12.75">
      <c r="B19" s="3" t="s">
        <v>55</v>
      </c>
      <c r="C19" s="3" t="s">
        <v>53</v>
      </c>
      <c r="D19" s="5">
        <v>12.98</v>
      </c>
      <c r="E19" s="5">
        <v>16.52</v>
      </c>
      <c r="F19" s="22">
        <f t="shared" si="0"/>
        <v>29.5</v>
      </c>
    </row>
    <row r="20" spans="2:6" ht="12.75">
      <c r="B20" s="3" t="s">
        <v>161</v>
      </c>
      <c r="C20" s="3" t="s">
        <v>5</v>
      </c>
      <c r="D20" s="5">
        <v>12.87</v>
      </c>
      <c r="E20" s="5">
        <v>52.5</v>
      </c>
      <c r="F20" s="22">
        <f t="shared" si="0"/>
        <v>65.37</v>
      </c>
    </row>
    <row r="21" spans="2:6" ht="12.75">
      <c r="B21" s="3" t="s">
        <v>115</v>
      </c>
      <c r="C21" s="3" t="s">
        <v>105</v>
      </c>
      <c r="D21" s="5">
        <v>12.6</v>
      </c>
      <c r="E21" s="5">
        <v>14.4</v>
      </c>
      <c r="F21" s="22">
        <f t="shared" si="0"/>
        <v>27</v>
      </c>
    </row>
    <row r="22" spans="2:6" ht="12.75">
      <c r="B22" s="3" t="s">
        <v>40</v>
      </c>
      <c r="C22" s="3" t="s">
        <v>24</v>
      </c>
      <c r="D22" s="5">
        <v>12</v>
      </c>
      <c r="E22" s="3">
        <v>15.6</v>
      </c>
      <c r="F22" s="22">
        <f t="shared" si="0"/>
        <v>27.6</v>
      </c>
    </row>
    <row r="23" spans="2:6" ht="12.75">
      <c r="B23" s="3" t="s">
        <v>46</v>
      </c>
      <c r="C23" s="3" t="s">
        <v>19</v>
      </c>
      <c r="D23" s="5">
        <v>11.8</v>
      </c>
      <c r="E23" s="5">
        <v>17.11</v>
      </c>
      <c r="F23" s="22">
        <f t="shared" si="0"/>
        <v>28.91</v>
      </c>
    </row>
    <row r="24" spans="2:6" ht="12.75">
      <c r="B24" s="3" t="s">
        <v>132</v>
      </c>
      <c r="C24" s="3" t="s">
        <v>103</v>
      </c>
      <c r="D24" s="5">
        <v>11.8</v>
      </c>
      <c r="E24" s="5">
        <v>29.5</v>
      </c>
      <c r="F24" s="48">
        <f t="shared" si="0"/>
        <v>41.3</v>
      </c>
    </row>
    <row r="25" spans="2:6" ht="12.75">
      <c r="B25" s="3" t="s">
        <v>39</v>
      </c>
      <c r="C25" s="3" t="s">
        <v>7</v>
      </c>
      <c r="D25" s="5">
        <v>11.8</v>
      </c>
      <c r="E25" s="5">
        <v>15.34</v>
      </c>
      <c r="F25" s="22">
        <f t="shared" si="0"/>
        <v>27.14</v>
      </c>
    </row>
    <row r="26" spans="2:6" ht="12.75">
      <c r="B26" s="3" t="s">
        <v>34</v>
      </c>
      <c r="C26" s="3" t="s">
        <v>11</v>
      </c>
      <c r="D26" s="3">
        <v>11.32</v>
      </c>
      <c r="E26" s="5">
        <v>32.86</v>
      </c>
      <c r="F26" s="22">
        <f t="shared" si="0"/>
        <v>44.18</v>
      </c>
    </row>
    <row r="27" spans="2:6" ht="12.75">
      <c r="B27" s="3" t="s">
        <v>38</v>
      </c>
      <c r="C27" s="3" t="s">
        <v>15</v>
      </c>
      <c r="D27" s="5">
        <v>11.28</v>
      </c>
      <c r="E27" s="5">
        <v>16.15</v>
      </c>
      <c r="F27" s="22">
        <f t="shared" si="0"/>
        <v>27.43</v>
      </c>
    </row>
    <row r="28" spans="2:6" ht="12.75">
      <c r="B28" s="3" t="s">
        <v>31</v>
      </c>
      <c r="C28" s="9" t="s">
        <v>25</v>
      </c>
      <c r="D28" s="5">
        <v>11.15</v>
      </c>
      <c r="E28" s="5">
        <v>14.85</v>
      </c>
      <c r="F28" s="22">
        <f t="shared" si="0"/>
        <v>26</v>
      </c>
    </row>
    <row r="29" spans="2:6" ht="12.75">
      <c r="B29" s="3" t="s">
        <v>37</v>
      </c>
      <c r="C29" s="3" t="s">
        <v>4</v>
      </c>
      <c r="D29" s="5">
        <v>10.8</v>
      </c>
      <c r="E29" s="5">
        <v>13.2</v>
      </c>
      <c r="F29" s="22">
        <f t="shared" si="0"/>
        <v>24</v>
      </c>
    </row>
    <row r="30" spans="2:6" ht="12.75">
      <c r="B30" s="3" t="s">
        <v>196</v>
      </c>
      <c r="C30" s="3" t="s">
        <v>23</v>
      </c>
      <c r="D30" s="5">
        <v>10.62</v>
      </c>
      <c r="E30" s="5">
        <v>15.34</v>
      </c>
      <c r="F30" s="22">
        <f t="shared" si="0"/>
        <v>25.96</v>
      </c>
    </row>
    <row r="31" spans="2:6" ht="12.75">
      <c r="B31" s="3" t="s">
        <v>160</v>
      </c>
      <c r="C31" s="3"/>
      <c r="D31" s="5">
        <v>10.52</v>
      </c>
      <c r="E31" s="5">
        <v>12.5</v>
      </c>
      <c r="F31" s="22">
        <f t="shared" si="0"/>
        <v>23.02</v>
      </c>
    </row>
    <row r="32" spans="2:6" ht="12.75">
      <c r="B32" s="3" t="s">
        <v>123</v>
      </c>
      <c r="C32" s="3" t="s">
        <v>6</v>
      </c>
      <c r="D32" s="5">
        <v>10.5</v>
      </c>
      <c r="E32" s="5">
        <v>15.3</v>
      </c>
      <c r="F32" s="22">
        <f t="shared" si="0"/>
        <v>25.8</v>
      </c>
    </row>
    <row r="33" spans="2:6" ht="12.75">
      <c r="B33" s="3" t="s">
        <v>32</v>
      </c>
      <c r="C33" s="3" t="s">
        <v>12</v>
      </c>
      <c r="D33" s="5">
        <v>10.12</v>
      </c>
      <c r="E33" s="5">
        <v>13.05</v>
      </c>
      <c r="F33" s="22">
        <f t="shared" si="0"/>
        <v>23.17</v>
      </c>
    </row>
    <row r="34" spans="2:6" ht="12.75">
      <c r="B34" s="3" t="s">
        <v>44</v>
      </c>
      <c r="C34" s="3" t="s">
        <v>22</v>
      </c>
      <c r="D34" s="5">
        <v>9.44</v>
      </c>
      <c r="E34" s="3">
        <v>17.11</v>
      </c>
      <c r="F34" s="22">
        <f t="shared" si="0"/>
        <v>26.549999999999997</v>
      </c>
    </row>
    <row r="35" spans="2:6" ht="12.75">
      <c r="B35" s="3" t="s">
        <v>107</v>
      </c>
      <c r="C35" s="3" t="s">
        <v>10</v>
      </c>
      <c r="D35" s="5">
        <v>7.85</v>
      </c>
      <c r="E35" s="3">
        <v>21.5</v>
      </c>
      <c r="F35" s="22">
        <f t="shared" si="0"/>
        <v>29.35</v>
      </c>
    </row>
    <row r="36" spans="2:6" ht="12.75">
      <c r="B36" s="3" t="s">
        <v>99</v>
      </c>
      <c r="C36" s="3"/>
      <c r="D36" s="5">
        <v>7.1</v>
      </c>
      <c r="E36" s="3">
        <v>9.79</v>
      </c>
      <c r="F36" s="22">
        <f t="shared" si="0"/>
        <v>16.89</v>
      </c>
    </row>
    <row r="37" spans="4:5" ht="12.75">
      <c r="D37" s="4"/>
      <c r="E37" s="4"/>
    </row>
  </sheetData>
  <mergeCells count="2">
    <mergeCell ref="B4:F4"/>
    <mergeCell ref="B3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4">
      <selection activeCell="J39" sqref="J39"/>
    </sheetView>
  </sheetViews>
  <sheetFormatPr defaultColWidth="9.140625" defaultRowHeight="12.75"/>
  <cols>
    <col min="2" max="2" width="21.7109375" style="0" customWidth="1"/>
    <col min="3" max="3" width="6.8515625" style="0" customWidth="1"/>
    <col min="4" max="4" width="7.421875" style="0" customWidth="1"/>
    <col min="5" max="5" width="0" style="0" hidden="1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93" t="s">
        <v>135</v>
      </c>
      <c r="C1" s="93"/>
      <c r="D1" s="93"/>
    </row>
    <row r="2" spans="2:5" ht="14.25">
      <c r="B2" s="101" t="s">
        <v>134</v>
      </c>
      <c r="C2" s="101"/>
      <c r="D2" s="101"/>
      <c r="E2" s="101"/>
    </row>
    <row r="3" spans="2:5" ht="12.75">
      <c r="B3" s="11" t="s">
        <v>3</v>
      </c>
      <c r="C3" s="11"/>
      <c r="D3" s="11"/>
      <c r="E3" s="24" t="s">
        <v>82</v>
      </c>
    </row>
    <row r="4" spans="2:5" ht="12.75">
      <c r="B4" s="17"/>
      <c r="C4" s="17" t="s">
        <v>85</v>
      </c>
      <c r="D4" s="17" t="s">
        <v>82</v>
      </c>
      <c r="E4" s="60"/>
    </row>
    <row r="5" spans="2:5" ht="12.75">
      <c r="B5" s="16" t="s">
        <v>45</v>
      </c>
      <c r="C5" s="26">
        <v>14.99</v>
      </c>
      <c r="D5" s="26">
        <v>13.8</v>
      </c>
      <c r="E5" s="22">
        <f>C5+D5</f>
        <v>28.79</v>
      </c>
    </row>
    <row r="6" spans="2:5" ht="12.75">
      <c r="B6" s="3" t="s">
        <v>84</v>
      </c>
      <c r="C6" s="5">
        <v>14.17</v>
      </c>
      <c r="D6" s="5">
        <v>11.47</v>
      </c>
      <c r="E6" s="22">
        <f aca="true" t="shared" si="0" ref="E6:E35">C6+D6</f>
        <v>25.64</v>
      </c>
    </row>
    <row r="7" spans="2:5" ht="12.75">
      <c r="B7" s="3" t="s">
        <v>79</v>
      </c>
      <c r="C7" s="5">
        <v>13</v>
      </c>
      <c r="D7" s="5">
        <v>17</v>
      </c>
      <c r="E7" s="22">
        <f t="shared" si="0"/>
        <v>30</v>
      </c>
    </row>
    <row r="8" spans="2:5" ht="12.75">
      <c r="B8" s="3" t="s">
        <v>125</v>
      </c>
      <c r="C8" s="5">
        <v>13</v>
      </c>
      <c r="D8" s="5">
        <v>17</v>
      </c>
      <c r="E8" s="22">
        <f t="shared" si="0"/>
        <v>30</v>
      </c>
    </row>
    <row r="9" spans="2:5" ht="12.75">
      <c r="B9" s="3" t="s">
        <v>35</v>
      </c>
      <c r="C9" s="5">
        <v>12.98</v>
      </c>
      <c r="D9" s="5">
        <v>13.81</v>
      </c>
      <c r="E9" s="22">
        <f t="shared" si="0"/>
        <v>26.79</v>
      </c>
    </row>
    <row r="10" spans="2:5" ht="12.75">
      <c r="B10" s="3" t="s">
        <v>115</v>
      </c>
      <c r="C10" s="5">
        <v>12.6</v>
      </c>
      <c r="D10" s="5">
        <v>14.4</v>
      </c>
      <c r="E10" s="22">
        <f t="shared" si="0"/>
        <v>27</v>
      </c>
    </row>
    <row r="11" spans="2:5" ht="12.75">
      <c r="B11" s="3" t="s">
        <v>121</v>
      </c>
      <c r="C11" s="5">
        <v>12.96</v>
      </c>
      <c r="D11" s="5">
        <v>16.21</v>
      </c>
      <c r="E11" s="22">
        <f t="shared" si="0"/>
        <v>29.17</v>
      </c>
    </row>
    <row r="12" spans="2:5" ht="12.75">
      <c r="B12" s="3" t="s">
        <v>108</v>
      </c>
      <c r="C12" s="5">
        <v>12.4</v>
      </c>
      <c r="D12" s="5">
        <v>15.3</v>
      </c>
      <c r="E12" s="22">
        <f t="shared" si="0"/>
        <v>27.700000000000003</v>
      </c>
    </row>
    <row r="13" spans="2:5" ht="12.75">
      <c r="B13" s="3" t="s">
        <v>48</v>
      </c>
      <c r="C13" s="5">
        <v>12.27</v>
      </c>
      <c r="D13" s="3">
        <v>16.52</v>
      </c>
      <c r="E13" s="22">
        <f t="shared" si="0"/>
        <v>28.79</v>
      </c>
    </row>
    <row r="14" spans="2:5" ht="12.75">
      <c r="B14" s="3" t="s">
        <v>126</v>
      </c>
      <c r="C14" s="5">
        <v>12</v>
      </c>
      <c r="D14" s="5">
        <v>8.45</v>
      </c>
      <c r="E14" s="22">
        <f t="shared" si="0"/>
        <v>20.45</v>
      </c>
    </row>
    <row r="15" spans="2:5" ht="12.75">
      <c r="B15" s="3" t="s">
        <v>36</v>
      </c>
      <c r="C15" s="5">
        <v>11.5</v>
      </c>
      <c r="D15" s="5">
        <v>13.9</v>
      </c>
      <c r="E15" s="48">
        <f t="shared" si="0"/>
        <v>25.4</v>
      </c>
    </row>
    <row r="16" spans="2:5" ht="12.75">
      <c r="B16" s="3" t="s">
        <v>31</v>
      </c>
      <c r="C16" s="5">
        <v>11.15</v>
      </c>
      <c r="D16" s="5">
        <v>14.85</v>
      </c>
      <c r="E16" s="22">
        <f t="shared" si="0"/>
        <v>26</v>
      </c>
    </row>
    <row r="17" spans="2:5" ht="12.75">
      <c r="B17" s="3" t="s">
        <v>55</v>
      </c>
      <c r="C17" s="5">
        <v>11</v>
      </c>
      <c r="D17" s="5">
        <v>14</v>
      </c>
      <c r="E17" s="22">
        <f t="shared" si="0"/>
        <v>25</v>
      </c>
    </row>
    <row r="18" spans="2:5" ht="12.75">
      <c r="B18" s="3" t="s">
        <v>33</v>
      </c>
      <c r="C18" s="5">
        <v>11.09</v>
      </c>
      <c r="D18" s="5">
        <v>14.07</v>
      </c>
      <c r="E18" s="22">
        <f t="shared" si="0"/>
        <v>25.16</v>
      </c>
    </row>
    <row r="19" spans="2:5" ht="12.75">
      <c r="B19" s="3" t="s">
        <v>27</v>
      </c>
      <c r="C19" s="5">
        <v>10.91</v>
      </c>
      <c r="D19" s="5">
        <v>14.04</v>
      </c>
      <c r="E19" s="22">
        <f t="shared" si="0"/>
        <v>24.95</v>
      </c>
    </row>
    <row r="20" spans="2:5" ht="12.75">
      <c r="B20" s="3" t="s">
        <v>37</v>
      </c>
      <c r="C20" s="5">
        <v>10.8</v>
      </c>
      <c r="D20" s="5">
        <v>13.2</v>
      </c>
      <c r="E20" s="22">
        <f t="shared" si="0"/>
        <v>24</v>
      </c>
    </row>
    <row r="21" spans="2:5" ht="12.75">
      <c r="B21" s="3" t="s">
        <v>39</v>
      </c>
      <c r="C21" s="5">
        <v>10.62</v>
      </c>
      <c r="D21" s="5">
        <v>13.57</v>
      </c>
      <c r="E21" s="22">
        <f t="shared" si="0"/>
        <v>24.189999999999998</v>
      </c>
    </row>
    <row r="22" spans="2:5" ht="12.75">
      <c r="B22" s="3" t="s">
        <v>197</v>
      </c>
      <c r="C22" s="5">
        <v>10.62</v>
      </c>
      <c r="D22" s="5">
        <v>15.34</v>
      </c>
      <c r="E22" s="22">
        <f t="shared" si="0"/>
        <v>25.96</v>
      </c>
    </row>
    <row r="23" spans="2:5" ht="12.75">
      <c r="B23" s="3" t="s">
        <v>114</v>
      </c>
      <c r="C23" s="5">
        <v>10.5</v>
      </c>
      <c r="D23" s="5">
        <v>15.3</v>
      </c>
      <c r="E23" s="22">
        <f t="shared" si="0"/>
        <v>25.8</v>
      </c>
    </row>
    <row r="24" spans="2:5" ht="12.75">
      <c r="B24" s="3" t="s">
        <v>32</v>
      </c>
      <c r="C24" s="5">
        <v>10.78</v>
      </c>
      <c r="D24" s="5">
        <v>13.81</v>
      </c>
      <c r="E24" s="22">
        <f t="shared" si="0"/>
        <v>24.59</v>
      </c>
    </row>
    <row r="25" spans="2:5" ht="12.75">
      <c r="B25" s="3" t="s">
        <v>34</v>
      </c>
      <c r="C25" s="3">
        <v>10.65</v>
      </c>
      <c r="D25" s="5">
        <v>15.32</v>
      </c>
      <c r="E25" s="22">
        <f t="shared" si="0"/>
        <v>25.97</v>
      </c>
    </row>
    <row r="26" spans="2:5" ht="12.75">
      <c r="B26" s="3" t="s">
        <v>40</v>
      </c>
      <c r="C26" s="5">
        <v>10.04</v>
      </c>
      <c r="D26" s="3">
        <v>12.65</v>
      </c>
      <c r="E26" s="22">
        <f t="shared" si="0"/>
        <v>22.689999999999998</v>
      </c>
    </row>
    <row r="27" spans="2:5" ht="12.75">
      <c r="B27" s="3" t="s">
        <v>46</v>
      </c>
      <c r="C27" s="5">
        <v>10</v>
      </c>
      <c r="D27" s="5">
        <v>14.5</v>
      </c>
      <c r="E27" s="22">
        <f t="shared" si="0"/>
        <v>24.5</v>
      </c>
    </row>
    <row r="28" spans="2:5" ht="12.75">
      <c r="B28" s="3" t="s">
        <v>44</v>
      </c>
      <c r="C28" s="5">
        <v>9.44</v>
      </c>
      <c r="D28" s="3">
        <v>17.11</v>
      </c>
      <c r="E28" s="22">
        <f t="shared" si="0"/>
        <v>26.549999999999997</v>
      </c>
    </row>
    <row r="29" spans="2:5" ht="12.75">
      <c r="B29" s="3" t="s">
        <v>38</v>
      </c>
      <c r="C29" s="5">
        <v>8.91</v>
      </c>
      <c r="D29" s="5">
        <v>13.11</v>
      </c>
      <c r="E29" s="22">
        <f t="shared" si="0"/>
        <v>22.02</v>
      </c>
    </row>
    <row r="30" spans="2:5" ht="12.75">
      <c r="B30" s="3" t="s">
        <v>47</v>
      </c>
      <c r="C30" s="5">
        <v>8.5</v>
      </c>
      <c r="D30" s="5">
        <v>8.45</v>
      </c>
      <c r="E30" s="22">
        <f t="shared" si="0"/>
        <v>16.95</v>
      </c>
    </row>
    <row r="31" spans="2:5" ht="12.75">
      <c r="B31" s="3" t="s">
        <v>51</v>
      </c>
      <c r="C31" s="5">
        <v>7.85</v>
      </c>
      <c r="D31" s="5">
        <v>5.81</v>
      </c>
      <c r="E31" s="22">
        <f t="shared" si="0"/>
        <v>13.66</v>
      </c>
    </row>
    <row r="32" spans="2:5" ht="12.75">
      <c r="B32" s="3" t="s">
        <v>30</v>
      </c>
      <c r="C32" s="5">
        <v>7.85</v>
      </c>
      <c r="D32" s="3">
        <v>21.5</v>
      </c>
      <c r="E32" s="22">
        <f t="shared" si="0"/>
        <v>29.35</v>
      </c>
    </row>
    <row r="33" spans="2:5" ht="12.75">
      <c r="B33" s="3" t="s">
        <v>116</v>
      </c>
      <c r="C33" s="5">
        <v>7.68</v>
      </c>
      <c r="D33" s="5">
        <v>13.6</v>
      </c>
      <c r="E33" s="22">
        <f t="shared" si="0"/>
        <v>21.28</v>
      </c>
    </row>
    <row r="34" spans="2:5" ht="12.75">
      <c r="B34" s="3" t="s">
        <v>113</v>
      </c>
      <c r="C34" s="5">
        <v>7</v>
      </c>
      <c r="D34" s="5">
        <v>13</v>
      </c>
      <c r="E34" s="22">
        <f t="shared" si="0"/>
        <v>20</v>
      </c>
    </row>
    <row r="35" spans="2:5" ht="12.75">
      <c r="B35" s="6"/>
      <c r="C35" s="4"/>
      <c r="D35" s="4"/>
      <c r="E35" s="41">
        <f t="shared" si="0"/>
        <v>0</v>
      </c>
    </row>
  </sheetData>
  <mergeCells count="2">
    <mergeCell ref="B1:D1"/>
    <mergeCell ref="B2:E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H46" sqref="H46"/>
    </sheetView>
  </sheetViews>
  <sheetFormatPr defaultColWidth="9.140625" defaultRowHeight="12.75"/>
  <cols>
    <col min="1" max="1" width="22.00390625" style="0" customWidth="1"/>
    <col min="2" max="2" width="6.57421875" style="0" customWidth="1"/>
    <col min="3" max="3" width="8.140625" style="0" customWidth="1"/>
  </cols>
  <sheetData>
    <row r="2" spans="1:3" ht="13.5" thickBot="1">
      <c r="A2" s="94" t="s">
        <v>136</v>
      </c>
      <c r="B2" s="94"/>
      <c r="C2" s="94"/>
    </row>
    <row r="3" spans="1:3" ht="12.75">
      <c r="A3" s="61"/>
      <c r="B3" s="54"/>
      <c r="C3" s="54"/>
    </row>
    <row r="4" spans="1:3" ht="13.5" thickBot="1">
      <c r="A4" s="62"/>
      <c r="B4" s="64" t="s">
        <v>169</v>
      </c>
      <c r="C4" s="64" t="s">
        <v>109</v>
      </c>
    </row>
    <row r="5" spans="1:3" ht="12.75">
      <c r="A5" s="63" t="s">
        <v>51</v>
      </c>
      <c r="B5" s="63">
        <v>13.66</v>
      </c>
      <c r="C5" s="63">
        <v>26.94</v>
      </c>
    </row>
    <row r="6" spans="1:3" ht="12.75">
      <c r="A6" s="21" t="s">
        <v>162</v>
      </c>
      <c r="B6" s="21">
        <v>16.95</v>
      </c>
      <c r="C6" s="21">
        <v>65.37</v>
      </c>
    </row>
    <row r="7" spans="1:3" ht="12.75">
      <c r="A7" s="21" t="s">
        <v>113</v>
      </c>
      <c r="B7" s="21">
        <v>20</v>
      </c>
      <c r="C7" s="21">
        <v>41.3</v>
      </c>
    </row>
    <row r="8" spans="1:3" ht="12.75">
      <c r="A8" s="21" t="s">
        <v>128</v>
      </c>
      <c r="B8" s="21">
        <v>20.5</v>
      </c>
      <c r="C8" s="21">
        <v>24</v>
      </c>
    </row>
    <row r="9" spans="1:3" ht="12.75">
      <c r="A9" s="21" t="s">
        <v>129</v>
      </c>
      <c r="B9" s="21">
        <v>21.28</v>
      </c>
      <c r="C9" s="21">
        <v>32.64</v>
      </c>
    </row>
    <row r="10" spans="1:3" ht="12.75">
      <c r="A10" s="21" t="s">
        <v>127</v>
      </c>
      <c r="B10" s="21">
        <v>22</v>
      </c>
      <c r="C10" s="21">
        <f>13.5+10.5</f>
        <v>24</v>
      </c>
    </row>
    <row r="11" spans="1:3" ht="12.75">
      <c r="A11" s="21" t="s">
        <v>38</v>
      </c>
      <c r="B11" s="21">
        <v>22.02</v>
      </c>
      <c r="C11" s="21">
        <v>27.43</v>
      </c>
    </row>
    <row r="12" spans="1:3" ht="12.75">
      <c r="A12" s="21" t="s">
        <v>40</v>
      </c>
      <c r="B12" s="21">
        <v>22.69</v>
      </c>
      <c r="C12" s="21">
        <v>27.6</v>
      </c>
    </row>
    <row r="13" spans="1:3" ht="12.75">
      <c r="A13" s="21" t="s">
        <v>37</v>
      </c>
      <c r="B13" s="21">
        <f>10.8+13.2</f>
        <v>24</v>
      </c>
      <c r="C13" s="21">
        <f>10.8+13.2</f>
        <v>24</v>
      </c>
    </row>
    <row r="14" spans="1:3" ht="12.75">
      <c r="A14" s="21" t="s">
        <v>39</v>
      </c>
      <c r="B14" s="21">
        <f>10.62+13.57</f>
        <v>24.189999999999998</v>
      </c>
      <c r="C14" s="21">
        <f>11.8+15.34</f>
        <v>27.14</v>
      </c>
    </row>
    <row r="15" spans="1:3" ht="12.75">
      <c r="A15" s="21" t="s">
        <v>46</v>
      </c>
      <c r="B15" s="21">
        <f>10+14.5</f>
        <v>24.5</v>
      </c>
      <c r="C15" s="21">
        <f>11.8+17.11</f>
        <v>28.91</v>
      </c>
    </row>
    <row r="16" spans="1:3" ht="12.75">
      <c r="A16" s="21" t="s">
        <v>32</v>
      </c>
      <c r="B16" s="21">
        <v>24.59</v>
      </c>
      <c r="C16" s="21">
        <v>23.17</v>
      </c>
    </row>
    <row r="17" spans="1:3" ht="14.25" customHeight="1">
      <c r="A17" s="21" t="s">
        <v>27</v>
      </c>
      <c r="B17" s="21">
        <v>24.64</v>
      </c>
      <c r="C17" s="21">
        <v>32.62</v>
      </c>
    </row>
    <row r="18" spans="1:3" ht="12.75">
      <c r="A18" s="21" t="s">
        <v>55</v>
      </c>
      <c r="B18" s="21">
        <v>25</v>
      </c>
      <c r="C18" s="21">
        <v>29.5</v>
      </c>
    </row>
    <row r="19" spans="1:3" ht="12.75">
      <c r="A19" s="21" t="s">
        <v>33</v>
      </c>
      <c r="B19" s="21">
        <v>25.16</v>
      </c>
      <c r="C19" s="21">
        <v>32.89</v>
      </c>
    </row>
    <row r="20" spans="1:3" ht="12.75">
      <c r="A20" s="21" t="s">
        <v>36</v>
      </c>
      <c r="B20" s="21">
        <v>25.4</v>
      </c>
      <c r="C20" s="21">
        <v>30</v>
      </c>
    </row>
    <row r="21" spans="1:3" ht="12.75">
      <c r="A21" s="21" t="s">
        <v>54</v>
      </c>
      <c r="B21" s="21">
        <v>25.64</v>
      </c>
      <c r="C21" s="21">
        <v>59.83</v>
      </c>
    </row>
    <row r="22" spans="1:3" ht="12.75">
      <c r="A22" s="21" t="s">
        <v>123</v>
      </c>
      <c r="B22" s="21">
        <f>10.5+15.3</f>
        <v>25.8</v>
      </c>
      <c r="C22" s="21">
        <f>10.5+15.3</f>
        <v>25.8</v>
      </c>
    </row>
    <row r="23" spans="1:3" ht="12.75">
      <c r="A23" s="21" t="s">
        <v>197</v>
      </c>
      <c r="B23" s="21">
        <v>25.96</v>
      </c>
      <c r="C23" s="21">
        <v>25.96</v>
      </c>
    </row>
    <row r="24" spans="1:3" ht="12.75">
      <c r="A24" s="21" t="s">
        <v>34</v>
      </c>
      <c r="B24" s="21">
        <v>25.97</v>
      </c>
      <c r="C24" s="21">
        <v>44.18</v>
      </c>
    </row>
    <row r="25" spans="1:3" ht="12.75">
      <c r="A25" s="21" t="s">
        <v>31</v>
      </c>
      <c r="B25" s="21">
        <f>11.15+14.85</f>
        <v>26</v>
      </c>
      <c r="C25" s="21">
        <f>11.15+14.85</f>
        <v>26</v>
      </c>
    </row>
    <row r="26" spans="1:3" ht="12.75">
      <c r="A26" s="21" t="s">
        <v>44</v>
      </c>
      <c r="B26" s="21">
        <v>26.55</v>
      </c>
      <c r="C26" s="21">
        <v>26.55</v>
      </c>
    </row>
    <row r="27" spans="1:3" ht="12.75">
      <c r="A27" s="21" t="s">
        <v>35</v>
      </c>
      <c r="B27" s="21">
        <v>26.79</v>
      </c>
      <c r="C27" s="21">
        <v>35.4</v>
      </c>
    </row>
    <row r="28" spans="1:3" ht="12.75">
      <c r="A28" s="21" t="s">
        <v>115</v>
      </c>
      <c r="B28" s="21">
        <v>27</v>
      </c>
      <c r="C28" s="21">
        <v>27</v>
      </c>
    </row>
    <row r="29" spans="1:3" ht="12.75">
      <c r="A29" s="21" t="s">
        <v>52</v>
      </c>
      <c r="B29" s="21">
        <f>12.4+15.3</f>
        <v>27.700000000000003</v>
      </c>
      <c r="C29" s="21">
        <f>13.5+18.5</f>
        <v>32</v>
      </c>
    </row>
    <row r="30" spans="1:3" ht="12.75">
      <c r="A30" s="21" t="s">
        <v>45</v>
      </c>
      <c r="B30" s="21">
        <v>28.79</v>
      </c>
      <c r="C30" s="21">
        <v>28.98</v>
      </c>
    </row>
    <row r="31" spans="1:3" ht="12.75">
      <c r="A31" s="21" t="s">
        <v>48</v>
      </c>
      <c r="B31" s="21">
        <v>28.79</v>
      </c>
      <c r="C31" s="21">
        <v>56.64</v>
      </c>
    </row>
    <row r="32" spans="1:3" ht="12.75">
      <c r="A32" s="21" t="s">
        <v>122</v>
      </c>
      <c r="B32" s="21">
        <v>29.17</v>
      </c>
      <c r="C32" s="21"/>
    </row>
    <row r="33" spans="1:3" ht="12.75">
      <c r="A33" s="21" t="s">
        <v>30</v>
      </c>
      <c r="B33" s="21">
        <v>29.35</v>
      </c>
      <c r="C33" s="21">
        <v>29.35</v>
      </c>
    </row>
    <row r="34" spans="1:3" ht="12.75">
      <c r="A34" s="21" t="s">
        <v>79</v>
      </c>
      <c r="B34" s="21">
        <v>30</v>
      </c>
      <c r="C34" s="21">
        <v>40.36</v>
      </c>
    </row>
    <row r="35" spans="1:3" ht="12.75">
      <c r="A35" s="21" t="s">
        <v>163</v>
      </c>
      <c r="B35" s="21"/>
      <c r="C35" s="21">
        <v>23.02</v>
      </c>
    </row>
    <row r="36" spans="1:3" ht="12.75">
      <c r="A36" s="55"/>
      <c r="C36" s="4"/>
    </row>
  </sheetData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2007-08-31T04:32:17Z</cp:lastPrinted>
  <dcterms:created xsi:type="dcterms:W3CDTF">1999-11-19T13:09:27Z</dcterms:created>
  <dcterms:modified xsi:type="dcterms:W3CDTF">2007-08-31T04:32:36Z</dcterms:modified>
  <cp:category/>
  <cp:version/>
  <cp:contentType/>
  <cp:contentStatus/>
</cp:coreProperties>
</file>